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8.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9.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showInkAnnotation="0" codeName="ThisWorkbook" defaultThemeVersion="124226"/>
  <mc:AlternateContent xmlns:mc="http://schemas.openxmlformats.org/markup-compatibility/2006">
    <mc:Choice Requires="x15">
      <x15ac:absPath xmlns:x15ac="http://schemas.microsoft.com/office/spreadsheetml/2010/11/ac" url="C:\Users\Steve\Documents\Excel Experts\Crest\Penetration Testing\Done\"/>
    </mc:Choice>
  </mc:AlternateContent>
  <xr:revisionPtr revIDLastSave="0" documentId="13_ncr:1_{27214B08-E9A8-463A-BA7F-E5283265305C}" xr6:coauthVersionLast="47" xr6:coauthVersionMax="47" xr10:uidLastSave="{00000000-0000-0000-0000-000000000000}"/>
  <bookViews>
    <workbookView xWindow="-120" yWindow="-120" windowWidth="29040" windowHeight="15840" tabRatio="879" xr2:uid="{00000000-000D-0000-FFFF-FFFF00000000}"/>
  </bookViews>
  <sheets>
    <sheet name="Introduction" sheetId="44" r:id="rId1"/>
    <sheet name="Guidelines" sheetId="45" r:id="rId2"/>
    <sheet name="Profile and Scope" sheetId="30" r:id="rId3"/>
    <sheet name="Targets" sheetId="43" r:id="rId4"/>
    <sheet name="Weightings" sheetId="34" r:id="rId5"/>
    <sheet name="Aggregated Results" sheetId="22" r:id="rId6"/>
    <sheet name="Assess A" sheetId="52" r:id="rId7"/>
    <sheet name="Assess B" sheetId="63" r:id="rId8"/>
    <sheet name="Assess C" sheetId="64" r:id="rId9"/>
    <sheet name="Results A" sheetId="56" r:id="rId10"/>
    <sheet name="Results B" sheetId="65" r:id="rId11"/>
    <sheet name="Results C" sheetId="66" r:id="rId12"/>
    <sheet name="References" sheetId="20" state="veryHidden" r:id="rId13"/>
    <sheet name="MMAT Ref" sheetId="21" state="veryHidden" r:id="rId14"/>
    <sheet name="Content" sheetId="53" state="veryHidden" r:id="rId15"/>
  </sheets>
  <definedNames>
    <definedName name="_xlnm._FilterDatabase" localSheetId="6" hidden="1">'Assess A'!$C$2:$C$28</definedName>
    <definedName name="_xlnm._FilterDatabase" localSheetId="7" hidden="1">'Assess B'!$C$2:$C$28</definedName>
    <definedName name="_xlnm._FilterDatabase" localSheetId="8" hidden="1">'Assess C'!$C$2:$C$25</definedName>
    <definedName name="_xlnm._FilterDatabase" localSheetId="14" hidden="1">Content!$O$2:$O$72</definedName>
    <definedName name="_xlnm._FilterDatabase" localSheetId="2" hidden="1">'Profile and Scope'!$C$1:$C$27</definedName>
    <definedName name="_xlnm._FilterDatabase" localSheetId="9" hidden="1">'Results A'!$C$2:$C$28</definedName>
    <definedName name="_xlnm._FilterDatabase" localSheetId="10" hidden="1">'Results B'!$C$2:$C$35</definedName>
    <definedName name="_xlnm._FilterDatabase" localSheetId="11" hidden="1">'Results C'!$C$2:$C$25</definedName>
    <definedName name="_xlnm._FilterDatabase" localSheetId="4" hidden="1">Weightings!$C$1:$C$77</definedName>
    <definedName name="Aggregated_Maturity_Levels">OFFSET('Aggregated Results'!$B$4,0,0,COUNTA('Aggregated Results'!$B:$B),8)</definedName>
    <definedName name="Assess_A_Reference">OFFSET('Assess A'!$A$8,0,0,COUNTA('Assess A'!$A:$A),40)</definedName>
    <definedName name="Assess_B_Reference">OFFSET('Assess B'!$A$8,0,0,COUNTA('Assess B'!$A:$A),40)</definedName>
    <definedName name="Assess_C_Reference">OFFSET('Assess C'!$A$8,0,0,COUNTA('Assess C'!$A:$A),40)</definedName>
    <definedName name="Content_Headings">Content!$W$2:$X$7</definedName>
    <definedName name="contentref">Content!$A:$AD</definedName>
    <definedName name="contentrefmockup">Content!$A:$Y</definedName>
    <definedName name="Contents_Text">OFFSET(Content!$A$3,0,0,COUNTA(Content!$A:$A)-2,7)</definedName>
    <definedName name="detail_maturity_score">References!$B$4:$D$11</definedName>
    <definedName name="level_ref">Weightings!$R$4:$V$6</definedName>
    <definedName name="maturity_response_frame">References!$C$4:$C$11</definedName>
    <definedName name="MaturityLevelsTable">'Aggregated Results'!$AA$4:$AM$31</definedName>
    <definedName name="MMAT_Header_Text">OFFSET('MMAT Ref'!$A$2,0,0,COUNTA('MMAT Ref'!$A:$A),6)</definedName>
    <definedName name="MMAT_Results">OFFSET('MMAT Ref'!$Q$2,0,0,COUNTA('MMAT Ref'!$Q:$Q)-1,3)</definedName>
    <definedName name="MMAT_Text_Ref">OFFSET('MMAT Ref'!$AB$2,0,0,COUNTA('MMAT Ref'!$AB:$AB),3)</definedName>
    <definedName name="_xlnm.Print_Area" localSheetId="5">'Aggregated Results'!$D$1:$W$36</definedName>
    <definedName name="_xlnm.Print_Area" localSheetId="6">'Assess A'!$E$1:$Q$28</definedName>
    <definedName name="_xlnm.Print_Area" localSheetId="7">'Assess B'!$E$1:$Q$28</definedName>
    <definedName name="_xlnm.Print_Area" localSheetId="8">'Assess C'!$E$1:$Q$25</definedName>
    <definedName name="_xlnm.Print_Area" localSheetId="1">Guidelines!$A$1:$M$81</definedName>
    <definedName name="_xlnm.Print_Area" localSheetId="0">Introduction!$A$1:$M$77</definedName>
    <definedName name="_xlnm.Print_Area" localSheetId="2">'Profile and Scope'!$D$1:$H$27</definedName>
    <definedName name="_xlnm.Print_Area" localSheetId="9">'Results A'!$E$1:$I$28</definedName>
    <definedName name="_xlnm.Print_Area" localSheetId="10">'Results B'!$E$1:$I$35</definedName>
    <definedName name="_xlnm.Print_Area" localSheetId="11">'Results C'!$E$1:$I$25</definedName>
    <definedName name="_xlnm.Print_Area" localSheetId="3">Targets!$D$1:$S$32</definedName>
    <definedName name="_xlnm.Print_Area" localSheetId="4">Weightings!$E$1:$M$77</definedName>
    <definedName name="profile_business_unit">'Profile and Scope'!$F$14</definedName>
    <definedName name="profile_date_of_assessment">'Profile and Scope'!$F$26</definedName>
    <definedName name="profile_internal_pt_coordinator">'Profile and Scope'!$F$8</definedName>
    <definedName name="profile_name_of_organisation">'Profile and Scope'!$F$5</definedName>
    <definedName name="profile_pt_coordinator_role_or_position">'Profile and Scope'!$F$11</definedName>
    <definedName name="profile_sector">'Profile and Scope'!$J$17</definedName>
    <definedName name="profile_size_of_business">'Profile and Scope'!$J$20</definedName>
    <definedName name="profile_type_of_business">'Profile and Scope'!$J$23</definedName>
    <definedName name="Results_A_Reference">'Results A'!$B$8:$Z$1000</definedName>
    <definedName name="Results_B_Reference">'Results B'!$B$8:$Z$1000</definedName>
    <definedName name="Results_C_Reference">'Results C'!$B$8:$Z$1000</definedName>
    <definedName name="sector_responses">References!$F$4:$F$30</definedName>
    <definedName name="size_of_business_responses">References!$H$4:$H$8</definedName>
    <definedName name="targets_lookup">Targets!$B$4:$F$28</definedName>
    <definedName name="textref">'MMAT Ref'!$AB:$AD</definedName>
    <definedName name="Tool_Name">Introduction!$D$2</definedName>
    <definedName name="type_of_business_responses">References!$J$4:$J$9</definedName>
    <definedName name="weighting_response_reverse">References!$N$4:$O$8</definedName>
    <definedName name="weighting_responses">References!$L$4:$L$8</definedName>
    <definedName name="Weightings_Assessments">OFFSET(Weightings!$A$8,0,0,COUNTA(Weightings!$A:$A),26)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66" l="1"/>
  <c r="I21" i="66"/>
  <c r="I18" i="66"/>
  <c r="I15" i="66"/>
  <c r="I12" i="66"/>
  <c r="I9" i="66"/>
  <c r="I34" i="65"/>
  <c r="I31" i="65"/>
  <c r="I28" i="65"/>
  <c r="I25" i="65"/>
  <c r="I22" i="65"/>
  <c r="I18" i="65"/>
  <c r="I15" i="65"/>
  <c r="I12" i="65"/>
  <c r="I9" i="65"/>
  <c r="I27" i="56"/>
  <c r="I24" i="56"/>
  <c r="I21" i="56"/>
  <c r="I18" i="56"/>
  <c r="I15" i="56"/>
  <c r="I12" i="56"/>
  <c r="I9" i="56"/>
  <c r="AC26" i="21"/>
  <c r="AC25" i="21"/>
  <c r="AC24" i="21"/>
  <c r="AC23" i="21"/>
  <c r="AC22" i="21"/>
  <c r="AC21" i="21"/>
  <c r="AC20" i="21"/>
  <c r="AC19" i="21"/>
  <c r="AC18" i="21"/>
  <c r="AC17" i="21"/>
  <c r="AC16" i="21"/>
  <c r="AC15" i="21"/>
  <c r="AC14" i="21"/>
  <c r="AC13" i="21"/>
  <c r="AC12" i="21"/>
  <c r="AC11" i="21"/>
  <c r="AC10" i="21"/>
  <c r="AC9" i="21"/>
  <c r="AC8" i="21"/>
  <c r="AC7" i="21"/>
  <c r="AC6" i="21"/>
  <c r="AC5" i="21"/>
  <c r="AC4" i="21"/>
  <c r="AC3" i="21"/>
  <c r="AC2" i="21"/>
  <c r="V24" i="66"/>
  <c r="V23" i="66"/>
  <c r="V21" i="66"/>
  <c r="V20" i="66"/>
  <c r="V18" i="66"/>
  <c r="V17" i="66"/>
  <c r="V15" i="66"/>
  <c r="V14" i="66"/>
  <c r="V12" i="66"/>
  <c r="V11" i="66"/>
  <c r="V9" i="66"/>
  <c r="V8" i="66"/>
  <c r="V34" i="65"/>
  <c r="V33" i="65"/>
  <c r="V31" i="65"/>
  <c r="V30" i="65"/>
  <c r="V28" i="65"/>
  <c r="V27" i="65"/>
  <c r="V25" i="65"/>
  <c r="V24" i="65"/>
  <c r="V22" i="65"/>
  <c r="V21" i="65"/>
  <c r="V18" i="65"/>
  <c r="V17" i="65"/>
  <c r="V15" i="65"/>
  <c r="V14" i="65"/>
  <c r="V12" i="65"/>
  <c r="V11" i="65"/>
  <c r="V9" i="65"/>
  <c r="V8" i="65"/>
  <c r="V27" i="56"/>
  <c r="V26" i="56"/>
  <c r="V24" i="56"/>
  <c r="V23" i="56"/>
  <c r="V21" i="56"/>
  <c r="V20" i="56"/>
  <c r="V18" i="56"/>
  <c r="V17" i="56"/>
  <c r="V15" i="56"/>
  <c r="V14" i="56"/>
  <c r="V12" i="56"/>
  <c r="V11" i="56"/>
  <c r="V9" i="56"/>
  <c r="V8" i="56"/>
  <c r="W24" i="66"/>
  <c r="U24" i="66"/>
  <c r="W23" i="66"/>
  <c r="U23" i="66"/>
  <c r="W21" i="66"/>
  <c r="U21" i="66"/>
  <c r="W20" i="66"/>
  <c r="U20" i="66"/>
  <c r="W18" i="66"/>
  <c r="U18" i="66"/>
  <c r="W17" i="66"/>
  <c r="U17" i="66"/>
  <c r="W15" i="66"/>
  <c r="U15" i="66"/>
  <c r="W14" i="66"/>
  <c r="U14" i="66"/>
  <c r="W12" i="66"/>
  <c r="U12" i="66"/>
  <c r="W11" i="66"/>
  <c r="U11" i="66"/>
  <c r="W9" i="66"/>
  <c r="U9" i="66"/>
  <c r="W8" i="66"/>
  <c r="U8" i="66"/>
  <c r="W34" i="65"/>
  <c r="U34" i="65"/>
  <c r="W33" i="65"/>
  <c r="U33" i="65"/>
  <c r="W31" i="65"/>
  <c r="U31" i="65"/>
  <c r="W30" i="65"/>
  <c r="U30" i="65"/>
  <c r="W28" i="65"/>
  <c r="U28" i="65"/>
  <c r="W27" i="65"/>
  <c r="U27" i="65"/>
  <c r="W25" i="65"/>
  <c r="U25" i="65"/>
  <c r="W24" i="65"/>
  <c r="U24" i="65"/>
  <c r="W22" i="65"/>
  <c r="U22" i="65"/>
  <c r="W21" i="65"/>
  <c r="U21" i="65"/>
  <c r="W18" i="65"/>
  <c r="U18" i="65"/>
  <c r="W17" i="65"/>
  <c r="U17" i="65"/>
  <c r="W15" i="65"/>
  <c r="U15" i="65"/>
  <c r="W14" i="65"/>
  <c r="U14" i="65"/>
  <c r="W12" i="65"/>
  <c r="U12" i="65"/>
  <c r="W11" i="65"/>
  <c r="U11" i="65"/>
  <c r="W9" i="65"/>
  <c r="U9" i="65"/>
  <c r="W8" i="65"/>
  <c r="U8" i="65"/>
  <c r="W27" i="56"/>
  <c r="U27" i="56"/>
  <c r="W26" i="56"/>
  <c r="U26" i="56"/>
  <c r="W24" i="56"/>
  <c r="U24" i="56"/>
  <c r="W23" i="56"/>
  <c r="U23" i="56"/>
  <c r="W21" i="56"/>
  <c r="U21" i="56"/>
  <c r="W20" i="56"/>
  <c r="U20" i="56"/>
  <c r="W18" i="56"/>
  <c r="U18" i="56"/>
  <c r="W17" i="56"/>
  <c r="U17" i="56"/>
  <c r="W15" i="56"/>
  <c r="U15" i="56"/>
  <c r="W14" i="56"/>
  <c r="U14" i="56"/>
  <c r="W12" i="56"/>
  <c r="U12" i="56"/>
  <c r="W11" i="56"/>
  <c r="U11" i="56"/>
  <c r="W9" i="56"/>
  <c r="U9" i="56"/>
  <c r="W8" i="56"/>
  <c r="U8" i="56"/>
  <c r="F2" i="64"/>
  <c r="F2" i="63"/>
  <c r="F2" i="52"/>
  <c r="O23" i="64"/>
  <c r="O20" i="64"/>
  <c r="O17" i="64"/>
  <c r="O14" i="64"/>
  <c r="O11" i="64"/>
  <c r="O10" i="64"/>
  <c r="O8" i="64"/>
  <c r="O26" i="63"/>
  <c r="O23" i="63"/>
  <c r="O20" i="63"/>
  <c r="O17" i="63"/>
  <c r="O14" i="63"/>
  <c r="O11" i="63"/>
  <c r="O10" i="63"/>
  <c r="O8" i="63"/>
  <c r="O26" i="52"/>
  <c r="O23" i="52"/>
  <c r="O20" i="52"/>
  <c r="O17" i="52"/>
  <c r="O14" i="52"/>
  <c r="O11" i="52"/>
  <c r="O10" i="52"/>
  <c r="O8" i="52"/>
  <c r="F3" i="43"/>
  <c r="C3" i="43"/>
  <c r="D1" i="22"/>
  <c r="E1" i="30"/>
  <c r="D2" i="45"/>
  <c r="L4" i="21"/>
  <c r="M4" i="21" s="1"/>
  <c r="L3" i="21"/>
  <c r="M3" i="21" s="1"/>
  <c r="L2" i="21"/>
  <c r="M2" i="21" s="1"/>
  <c r="AM21" i="22" l="1"/>
  <c r="AM22" i="22"/>
  <c r="AM23" i="22"/>
  <c r="AM24" i="22"/>
  <c r="AM25" i="22"/>
  <c r="AM20" i="22"/>
  <c r="F25" i="66" l="1"/>
  <c r="F24" i="66"/>
  <c r="F23" i="66"/>
  <c r="F22" i="66"/>
  <c r="F21" i="66"/>
  <c r="F20" i="66"/>
  <c r="F19" i="66"/>
  <c r="F18" i="66"/>
  <c r="F17" i="66"/>
  <c r="F16" i="66"/>
  <c r="F15" i="66"/>
  <c r="F14" i="66"/>
  <c r="F13" i="66"/>
  <c r="F12" i="66"/>
  <c r="F11" i="66"/>
  <c r="F10" i="66"/>
  <c r="F9" i="66"/>
  <c r="F8" i="66"/>
  <c r="F2" i="66"/>
  <c r="F35" i="65"/>
  <c r="F34" i="65"/>
  <c r="F33" i="65"/>
  <c r="F32" i="65"/>
  <c r="F31" i="65"/>
  <c r="F30" i="65"/>
  <c r="F29" i="65"/>
  <c r="F28" i="65"/>
  <c r="F27" i="65"/>
  <c r="F26" i="65"/>
  <c r="F25" i="65"/>
  <c r="F24" i="65"/>
  <c r="F23" i="65"/>
  <c r="F22" i="65"/>
  <c r="F21" i="65"/>
  <c r="F20" i="65"/>
  <c r="F19" i="65"/>
  <c r="F18" i="65"/>
  <c r="F17" i="65"/>
  <c r="F16" i="65"/>
  <c r="F15" i="65"/>
  <c r="F14" i="65"/>
  <c r="F13" i="65"/>
  <c r="F12" i="65"/>
  <c r="F11" i="65"/>
  <c r="F10" i="65"/>
  <c r="F9" i="65"/>
  <c r="F8" i="65"/>
  <c r="F2" i="65"/>
  <c r="F25" i="64"/>
  <c r="F24" i="64"/>
  <c r="F23" i="64"/>
  <c r="F22" i="64"/>
  <c r="F21" i="64"/>
  <c r="F20" i="64"/>
  <c r="F19" i="64"/>
  <c r="F18" i="64"/>
  <c r="F17" i="64"/>
  <c r="F16" i="64"/>
  <c r="F15" i="64"/>
  <c r="F14" i="64"/>
  <c r="F13" i="64"/>
  <c r="F12" i="64"/>
  <c r="F11" i="64"/>
  <c r="F10" i="64"/>
  <c r="F9" i="64"/>
  <c r="F8" i="64"/>
  <c r="F35" i="63"/>
  <c r="F34" i="63"/>
  <c r="F33" i="63"/>
  <c r="F32" i="63"/>
  <c r="F31" i="63"/>
  <c r="F30" i="63"/>
  <c r="F29" i="63"/>
  <c r="F28" i="63"/>
  <c r="F27" i="63"/>
  <c r="F26" i="63"/>
  <c r="F25" i="63"/>
  <c r="F24" i="63"/>
  <c r="F23" i="63"/>
  <c r="F22" i="63"/>
  <c r="F21" i="63"/>
  <c r="F20" i="63"/>
  <c r="F19" i="63"/>
  <c r="F18" i="63"/>
  <c r="F17" i="63"/>
  <c r="F16" i="63"/>
  <c r="F15" i="63"/>
  <c r="F14" i="63"/>
  <c r="F13" i="63"/>
  <c r="F12" i="63"/>
  <c r="F11" i="63"/>
  <c r="F10" i="63"/>
  <c r="F9" i="63"/>
  <c r="F8" i="63"/>
  <c r="Y26" i="21"/>
  <c r="Z26" i="21"/>
  <c r="AD26" i="21"/>
  <c r="I58" i="53"/>
  <c r="J58" i="53"/>
  <c r="K58" i="53"/>
  <c r="L58" i="53"/>
  <c r="M58" i="53"/>
  <c r="N58" i="53"/>
  <c r="Q58" i="53"/>
  <c r="AB26" i="21" l="1"/>
  <c r="O58" i="53"/>
  <c r="AL12" i="22"/>
  <c r="AL13" i="22"/>
  <c r="AL14" i="22"/>
  <c r="AL15" i="22"/>
  <c r="AL16" i="22"/>
  <c r="AL17" i="22"/>
  <c r="AL18" i="22"/>
  <c r="AL19" i="22"/>
  <c r="AK8" i="22"/>
  <c r="AK9" i="22"/>
  <c r="AK10" i="22"/>
  <c r="F9" i="43"/>
  <c r="F15" i="43"/>
  <c r="F28" i="56"/>
  <c r="F27" i="56"/>
  <c r="F26" i="56"/>
  <c r="F25" i="56"/>
  <c r="F24" i="56"/>
  <c r="F23" i="56"/>
  <c r="F21" i="56"/>
  <c r="F19" i="56"/>
  <c r="F16" i="56"/>
  <c r="F15" i="56"/>
  <c r="F13" i="56"/>
  <c r="F12" i="56"/>
  <c r="F11" i="56"/>
  <c r="F8" i="56"/>
  <c r="E15" i="43" l="1"/>
  <c r="H15" i="65"/>
  <c r="E9" i="43"/>
  <c r="H21" i="56"/>
  <c r="R58" i="53"/>
  <c r="B58" i="53" s="1"/>
  <c r="C11" i="64"/>
  <c r="E11" i="64" s="1"/>
  <c r="C11" i="66"/>
  <c r="I15" i="22"/>
  <c r="H15" i="22" s="1"/>
  <c r="I9" i="22"/>
  <c r="H9" i="22" s="1"/>
  <c r="Y11" i="66" l="1"/>
  <c r="E11" i="66"/>
  <c r="B11" i="64"/>
  <c r="B11" i="66"/>
  <c r="L11" i="66" s="1"/>
  <c r="F28" i="43"/>
  <c r="H24" i="66" s="1"/>
  <c r="F27" i="43"/>
  <c r="H21" i="66" s="1"/>
  <c r="F26" i="43"/>
  <c r="H18" i="66" s="1"/>
  <c r="F25" i="43"/>
  <c r="H15" i="66" s="1"/>
  <c r="F24" i="43"/>
  <c r="H12" i="66" s="1"/>
  <c r="F23" i="43"/>
  <c r="H9" i="66" s="1"/>
  <c r="F21" i="43"/>
  <c r="H34" i="65" s="1"/>
  <c r="F20" i="43"/>
  <c r="H31" i="65" s="1"/>
  <c r="F19" i="43"/>
  <c r="H28" i="65" s="1"/>
  <c r="F18" i="43"/>
  <c r="H25" i="65" s="1"/>
  <c r="F17" i="43"/>
  <c r="H22" i="65" s="1"/>
  <c r="F16" i="43"/>
  <c r="H18" i="65" s="1"/>
  <c r="F14" i="43"/>
  <c r="H12" i="65" s="1"/>
  <c r="F13" i="43"/>
  <c r="H9" i="65" s="1"/>
  <c r="F11" i="43"/>
  <c r="H27" i="56" s="1"/>
  <c r="F10" i="43"/>
  <c r="H24" i="56" s="1"/>
  <c r="F8" i="43"/>
  <c r="H18" i="56" s="1"/>
  <c r="F7" i="43"/>
  <c r="H15" i="56" s="1"/>
  <c r="F6" i="43"/>
  <c r="H12" i="56" s="1"/>
  <c r="F5" i="43"/>
  <c r="H9" i="56" s="1"/>
  <c r="Q72" i="53" l="1"/>
  <c r="N72" i="53"/>
  <c r="M72" i="53"/>
  <c r="L72" i="53"/>
  <c r="K72" i="53"/>
  <c r="J72" i="53"/>
  <c r="I72" i="53"/>
  <c r="Q71" i="53"/>
  <c r="N71" i="53"/>
  <c r="M71" i="53"/>
  <c r="L71" i="53"/>
  <c r="K71" i="53"/>
  <c r="J71" i="53"/>
  <c r="I71" i="53"/>
  <c r="Q70" i="53"/>
  <c r="N70" i="53"/>
  <c r="M70" i="53"/>
  <c r="L70" i="53"/>
  <c r="K70" i="53"/>
  <c r="J70" i="53"/>
  <c r="I70" i="53"/>
  <c r="Q69" i="53"/>
  <c r="N69" i="53"/>
  <c r="M69" i="53"/>
  <c r="L69" i="53"/>
  <c r="K69" i="53"/>
  <c r="J69" i="53"/>
  <c r="I69" i="53"/>
  <c r="Q68" i="53"/>
  <c r="N68" i="53"/>
  <c r="M68" i="53"/>
  <c r="L68" i="53"/>
  <c r="K68" i="53"/>
  <c r="J68" i="53"/>
  <c r="I68" i="53"/>
  <c r="Q67" i="53"/>
  <c r="N67" i="53"/>
  <c r="M67" i="53"/>
  <c r="L67" i="53"/>
  <c r="K67" i="53"/>
  <c r="J67" i="53"/>
  <c r="I67" i="53"/>
  <c r="Q66" i="53"/>
  <c r="N66" i="53"/>
  <c r="M66" i="53"/>
  <c r="L66" i="53"/>
  <c r="K66" i="53"/>
  <c r="J66" i="53"/>
  <c r="I66" i="53"/>
  <c r="Q65" i="53"/>
  <c r="N65" i="53"/>
  <c r="M65" i="53"/>
  <c r="L65" i="53"/>
  <c r="K65" i="53"/>
  <c r="J65" i="53"/>
  <c r="I65" i="53"/>
  <c r="Q64" i="53"/>
  <c r="N64" i="53"/>
  <c r="M64" i="53"/>
  <c r="L64" i="53"/>
  <c r="K64" i="53"/>
  <c r="J64" i="53"/>
  <c r="I64" i="53"/>
  <c r="Q63" i="53"/>
  <c r="N63" i="53"/>
  <c r="M63" i="53"/>
  <c r="L63" i="53"/>
  <c r="K63" i="53"/>
  <c r="J63" i="53"/>
  <c r="I63" i="53"/>
  <c r="Q62" i="53"/>
  <c r="N62" i="53"/>
  <c r="M62" i="53"/>
  <c r="L62" i="53"/>
  <c r="K62" i="53"/>
  <c r="J62" i="53"/>
  <c r="I62" i="53"/>
  <c r="Q61" i="53"/>
  <c r="N61" i="53"/>
  <c r="M61" i="53"/>
  <c r="L61" i="53"/>
  <c r="K61" i="53"/>
  <c r="J61" i="53"/>
  <c r="I61" i="53"/>
  <c r="Q60" i="53"/>
  <c r="N60" i="53"/>
  <c r="M60" i="53"/>
  <c r="L60" i="53"/>
  <c r="K60" i="53"/>
  <c r="J60" i="53"/>
  <c r="I60" i="53"/>
  <c r="Q59" i="53"/>
  <c r="N59" i="53"/>
  <c r="M59" i="53"/>
  <c r="L59" i="53"/>
  <c r="K59" i="53"/>
  <c r="J59" i="53"/>
  <c r="I59" i="53"/>
  <c r="Q57" i="53"/>
  <c r="N57" i="53"/>
  <c r="M57" i="53"/>
  <c r="L57" i="53"/>
  <c r="K57" i="53"/>
  <c r="J57" i="53"/>
  <c r="I57" i="53"/>
  <c r="Q56" i="53"/>
  <c r="N56" i="53"/>
  <c r="M56" i="53"/>
  <c r="L56" i="53"/>
  <c r="K56" i="53"/>
  <c r="J56" i="53"/>
  <c r="I56" i="53"/>
  <c r="Q55" i="53"/>
  <c r="N55" i="53"/>
  <c r="M55" i="53"/>
  <c r="L55" i="53"/>
  <c r="K55" i="53"/>
  <c r="J55" i="53"/>
  <c r="I55" i="53"/>
  <c r="Q54" i="53"/>
  <c r="N54" i="53"/>
  <c r="M54" i="53"/>
  <c r="L54" i="53"/>
  <c r="K54" i="53"/>
  <c r="J54" i="53"/>
  <c r="I54" i="53"/>
  <c r="Q53" i="53"/>
  <c r="N53" i="53"/>
  <c r="M53" i="53"/>
  <c r="L53" i="53"/>
  <c r="K53" i="53"/>
  <c r="J53" i="53"/>
  <c r="I53" i="53"/>
  <c r="Q52" i="53"/>
  <c r="N52" i="53"/>
  <c r="M52" i="53"/>
  <c r="L52" i="53"/>
  <c r="K52" i="53"/>
  <c r="J52" i="53"/>
  <c r="I52" i="53"/>
  <c r="Q51" i="53"/>
  <c r="N51" i="53"/>
  <c r="M51" i="53"/>
  <c r="L51" i="53"/>
  <c r="K51" i="53"/>
  <c r="J51" i="53"/>
  <c r="I51" i="53"/>
  <c r="Q50" i="53"/>
  <c r="N50" i="53"/>
  <c r="M50" i="53"/>
  <c r="L50" i="53"/>
  <c r="K50" i="53"/>
  <c r="J50" i="53"/>
  <c r="I50" i="53"/>
  <c r="Q49" i="53"/>
  <c r="N49" i="53"/>
  <c r="M49" i="53"/>
  <c r="L49" i="53"/>
  <c r="K49" i="53"/>
  <c r="J49" i="53"/>
  <c r="I49" i="53"/>
  <c r="Q48" i="53"/>
  <c r="N48" i="53"/>
  <c r="M48" i="53"/>
  <c r="L48" i="53"/>
  <c r="K48" i="53"/>
  <c r="J48" i="53"/>
  <c r="I48" i="53"/>
  <c r="Q47" i="53"/>
  <c r="N47" i="53"/>
  <c r="M47" i="53"/>
  <c r="L47" i="53"/>
  <c r="K47" i="53"/>
  <c r="J47" i="53"/>
  <c r="I47" i="53"/>
  <c r="Q46" i="53"/>
  <c r="N46" i="53"/>
  <c r="M46" i="53"/>
  <c r="L46" i="53"/>
  <c r="K46" i="53"/>
  <c r="J46" i="53"/>
  <c r="I46" i="53"/>
  <c r="Q45" i="53"/>
  <c r="N45" i="53"/>
  <c r="M45" i="53"/>
  <c r="L45" i="53"/>
  <c r="K45" i="53"/>
  <c r="J45" i="53"/>
  <c r="I45" i="53"/>
  <c r="Q44" i="53"/>
  <c r="N44" i="53"/>
  <c r="M44" i="53"/>
  <c r="L44" i="53"/>
  <c r="K44" i="53"/>
  <c r="J44" i="53"/>
  <c r="I44" i="53"/>
  <c r="Q43" i="53"/>
  <c r="N43" i="53"/>
  <c r="M43" i="53"/>
  <c r="L43" i="53"/>
  <c r="K43" i="53"/>
  <c r="J43" i="53"/>
  <c r="I43" i="53"/>
  <c r="Q42" i="53"/>
  <c r="N42" i="53"/>
  <c r="M42" i="53"/>
  <c r="L42" i="53"/>
  <c r="K42" i="53"/>
  <c r="J42" i="53"/>
  <c r="I42" i="53"/>
  <c r="Q41" i="53"/>
  <c r="N41" i="53"/>
  <c r="M41" i="53"/>
  <c r="L41" i="53"/>
  <c r="K41" i="53"/>
  <c r="J41" i="53"/>
  <c r="I41" i="53"/>
  <c r="Q40" i="53"/>
  <c r="N40" i="53"/>
  <c r="M40" i="53"/>
  <c r="L40" i="53"/>
  <c r="K40" i="53"/>
  <c r="J40" i="53"/>
  <c r="I40" i="53"/>
  <c r="Q39" i="53"/>
  <c r="N39" i="53"/>
  <c r="M39" i="53"/>
  <c r="L39" i="53"/>
  <c r="K39" i="53"/>
  <c r="J39" i="53"/>
  <c r="I39" i="53"/>
  <c r="Q38" i="53"/>
  <c r="N38" i="53"/>
  <c r="M38" i="53"/>
  <c r="L38" i="53"/>
  <c r="K38" i="53"/>
  <c r="J38" i="53"/>
  <c r="I38" i="53"/>
  <c r="Q37" i="53"/>
  <c r="N37" i="53"/>
  <c r="M37" i="53"/>
  <c r="L37" i="53"/>
  <c r="K37" i="53"/>
  <c r="J37" i="53"/>
  <c r="I37" i="53"/>
  <c r="Q36" i="53"/>
  <c r="N36" i="53"/>
  <c r="M36" i="53"/>
  <c r="L36" i="53"/>
  <c r="K36" i="53"/>
  <c r="J36" i="53"/>
  <c r="I36" i="53"/>
  <c r="Q35" i="53"/>
  <c r="N35" i="53"/>
  <c r="M35" i="53"/>
  <c r="L35" i="53"/>
  <c r="K35" i="53"/>
  <c r="J35" i="53"/>
  <c r="I35" i="53"/>
  <c r="Q34" i="53"/>
  <c r="N34" i="53"/>
  <c r="M34" i="53"/>
  <c r="L34" i="53"/>
  <c r="K34" i="53"/>
  <c r="J34" i="53"/>
  <c r="I34" i="53"/>
  <c r="Q33" i="53"/>
  <c r="N33" i="53"/>
  <c r="M33" i="53"/>
  <c r="L33" i="53"/>
  <c r="K33" i="53"/>
  <c r="J33" i="53"/>
  <c r="I33" i="53"/>
  <c r="Q32" i="53"/>
  <c r="N32" i="53"/>
  <c r="M32" i="53"/>
  <c r="L32" i="53"/>
  <c r="K32" i="53"/>
  <c r="J32" i="53"/>
  <c r="I32" i="53"/>
  <c r="Q31" i="53"/>
  <c r="N31" i="53"/>
  <c r="M31" i="53"/>
  <c r="L31" i="53"/>
  <c r="K31" i="53"/>
  <c r="J31" i="53"/>
  <c r="I31" i="53"/>
  <c r="Q30" i="53"/>
  <c r="N30" i="53"/>
  <c r="M30" i="53"/>
  <c r="L30" i="53"/>
  <c r="K30" i="53"/>
  <c r="J30" i="53"/>
  <c r="I30" i="53"/>
  <c r="Q29" i="53"/>
  <c r="N29" i="53"/>
  <c r="M29" i="53"/>
  <c r="L29" i="53"/>
  <c r="K29" i="53"/>
  <c r="J29" i="53"/>
  <c r="I29" i="53"/>
  <c r="Q28" i="53"/>
  <c r="N28" i="53"/>
  <c r="M28" i="53"/>
  <c r="L28" i="53"/>
  <c r="K28" i="53"/>
  <c r="J28" i="53"/>
  <c r="I28" i="53"/>
  <c r="Q27" i="53"/>
  <c r="N27" i="53"/>
  <c r="M27" i="53"/>
  <c r="L27" i="53"/>
  <c r="K27" i="53"/>
  <c r="J27" i="53"/>
  <c r="I27" i="53"/>
  <c r="Q26" i="53"/>
  <c r="N26" i="53"/>
  <c r="M26" i="53"/>
  <c r="L26" i="53"/>
  <c r="K26" i="53"/>
  <c r="J26" i="53"/>
  <c r="I26" i="53"/>
  <c r="Q25" i="53"/>
  <c r="N25" i="53"/>
  <c r="M25" i="53"/>
  <c r="L25" i="53"/>
  <c r="K25" i="53"/>
  <c r="J25" i="53"/>
  <c r="I25" i="53"/>
  <c r="Q24" i="53"/>
  <c r="N24" i="53"/>
  <c r="M24" i="53"/>
  <c r="L24" i="53"/>
  <c r="K24" i="53"/>
  <c r="J24" i="53"/>
  <c r="I24" i="53"/>
  <c r="Q23" i="53"/>
  <c r="N23" i="53"/>
  <c r="M23" i="53"/>
  <c r="L23" i="53"/>
  <c r="K23" i="53"/>
  <c r="J23" i="53"/>
  <c r="I23" i="53"/>
  <c r="Q22" i="53"/>
  <c r="N22" i="53"/>
  <c r="M22" i="53"/>
  <c r="L22" i="53"/>
  <c r="K22" i="53"/>
  <c r="J22" i="53"/>
  <c r="I22" i="53"/>
  <c r="Q21" i="53"/>
  <c r="N21" i="53"/>
  <c r="M21" i="53"/>
  <c r="L21" i="53"/>
  <c r="K21" i="53"/>
  <c r="J21" i="53"/>
  <c r="I21" i="53"/>
  <c r="Q20" i="53"/>
  <c r="N20" i="53"/>
  <c r="M20" i="53"/>
  <c r="L20" i="53"/>
  <c r="K20" i="53"/>
  <c r="J20" i="53"/>
  <c r="I20" i="53"/>
  <c r="Q19" i="53"/>
  <c r="N19" i="53"/>
  <c r="M19" i="53"/>
  <c r="L19" i="53"/>
  <c r="K19" i="53"/>
  <c r="J19" i="53"/>
  <c r="I19" i="53"/>
  <c r="Q18" i="53"/>
  <c r="N18" i="53"/>
  <c r="M18" i="53"/>
  <c r="L18" i="53"/>
  <c r="K18" i="53"/>
  <c r="J18" i="53"/>
  <c r="I18" i="53"/>
  <c r="Q17" i="53"/>
  <c r="N17" i="53"/>
  <c r="M17" i="53"/>
  <c r="L17" i="53"/>
  <c r="K17" i="53"/>
  <c r="J17" i="53"/>
  <c r="I17" i="53"/>
  <c r="Q16" i="53"/>
  <c r="N16" i="53"/>
  <c r="M16" i="53"/>
  <c r="L16" i="53"/>
  <c r="K16" i="53"/>
  <c r="J16" i="53"/>
  <c r="I16" i="53"/>
  <c r="Q15" i="53"/>
  <c r="N15" i="53"/>
  <c r="M15" i="53"/>
  <c r="L15" i="53"/>
  <c r="K15" i="53"/>
  <c r="J15" i="53"/>
  <c r="I15" i="53"/>
  <c r="Q14" i="53"/>
  <c r="N14" i="53"/>
  <c r="M14" i="53"/>
  <c r="L14" i="53"/>
  <c r="K14" i="53"/>
  <c r="J14" i="53"/>
  <c r="I14" i="53"/>
  <c r="Q13" i="53"/>
  <c r="N13" i="53"/>
  <c r="M13" i="53"/>
  <c r="L13" i="53"/>
  <c r="K13" i="53"/>
  <c r="J13" i="53"/>
  <c r="I13" i="53"/>
  <c r="Q12" i="53"/>
  <c r="N12" i="53"/>
  <c r="M12" i="53"/>
  <c r="L12" i="53"/>
  <c r="K12" i="53"/>
  <c r="J12" i="53"/>
  <c r="I12" i="53"/>
  <c r="Q11" i="53"/>
  <c r="N11" i="53"/>
  <c r="M11" i="53"/>
  <c r="L11" i="53"/>
  <c r="K11" i="53"/>
  <c r="J11" i="53"/>
  <c r="I11" i="53"/>
  <c r="Q10" i="53"/>
  <c r="N10" i="53"/>
  <c r="M10" i="53"/>
  <c r="L10" i="53"/>
  <c r="K10" i="53"/>
  <c r="J10" i="53"/>
  <c r="I10" i="53"/>
  <c r="Q9" i="53"/>
  <c r="N9" i="53"/>
  <c r="M9" i="53"/>
  <c r="L9" i="53"/>
  <c r="K9" i="53"/>
  <c r="J9" i="53"/>
  <c r="I9" i="53"/>
  <c r="Q8" i="53"/>
  <c r="N8" i="53"/>
  <c r="M8" i="53"/>
  <c r="L8" i="53"/>
  <c r="K8" i="53"/>
  <c r="J8" i="53"/>
  <c r="I8" i="53"/>
  <c r="Q7" i="53"/>
  <c r="N7" i="53"/>
  <c r="M7" i="53"/>
  <c r="L7" i="53"/>
  <c r="K7" i="53"/>
  <c r="J7" i="53"/>
  <c r="I7" i="53"/>
  <c r="Q6" i="53"/>
  <c r="N6" i="53"/>
  <c r="M6" i="53"/>
  <c r="L6" i="53"/>
  <c r="K6" i="53"/>
  <c r="J6" i="53"/>
  <c r="I6" i="53"/>
  <c r="Q5" i="53"/>
  <c r="N5" i="53"/>
  <c r="M5" i="53"/>
  <c r="L5" i="53"/>
  <c r="K5" i="53"/>
  <c r="J5" i="53"/>
  <c r="I5" i="53"/>
  <c r="Q4" i="53"/>
  <c r="N4" i="53"/>
  <c r="M4" i="53"/>
  <c r="L4" i="53"/>
  <c r="K4" i="53"/>
  <c r="J4" i="53"/>
  <c r="I4" i="53"/>
  <c r="O20" i="53" l="1"/>
  <c r="O60" i="53"/>
  <c r="O52" i="53"/>
  <c r="O67" i="53"/>
  <c r="O49" i="53"/>
  <c r="O44" i="53"/>
  <c r="O50" i="53"/>
  <c r="O41" i="53"/>
  <c r="O14" i="53"/>
  <c r="O15" i="53"/>
  <c r="O16" i="53"/>
  <c r="O23" i="53"/>
  <c r="O28" i="53"/>
  <c r="O39" i="53"/>
  <c r="O30" i="53"/>
  <c r="O36" i="53"/>
  <c r="O4" i="53"/>
  <c r="O12" i="53"/>
  <c r="O13" i="53"/>
  <c r="O21" i="53"/>
  <c r="O11" i="53"/>
  <c r="O61" i="53"/>
  <c r="O62" i="53"/>
  <c r="O69" i="53"/>
  <c r="O5" i="53"/>
  <c r="O22" i="53"/>
  <c r="O24" i="53"/>
  <c r="O31" i="53"/>
  <c r="O59" i="53"/>
  <c r="O68" i="53"/>
  <c r="O70" i="53"/>
  <c r="O32" i="53"/>
  <c r="O19" i="53"/>
  <c r="O29" i="53"/>
  <c r="O38" i="53"/>
  <c r="O40" i="53"/>
  <c r="O57" i="53"/>
  <c r="O10" i="53"/>
  <c r="O18" i="53"/>
  <c r="O27" i="53"/>
  <c r="O37" i="53"/>
  <c r="O46" i="53"/>
  <c r="O47" i="53"/>
  <c r="O48" i="53"/>
  <c r="O55" i="53"/>
  <c r="O66" i="53"/>
  <c r="O9" i="53"/>
  <c r="O26" i="53"/>
  <c r="O35" i="53"/>
  <c r="O54" i="53"/>
  <c r="R54" i="53" s="1"/>
  <c r="O56" i="53"/>
  <c r="O64" i="53"/>
  <c r="O7" i="53"/>
  <c r="O17" i="53"/>
  <c r="O34" i="53"/>
  <c r="O43" i="53"/>
  <c r="O45" i="53"/>
  <c r="O63" i="53"/>
  <c r="O65" i="53"/>
  <c r="O72" i="53"/>
  <c r="O6" i="53"/>
  <c r="O8" i="53"/>
  <c r="O25" i="53"/>
  <c r="R25" i="53" s="1"/>
  <c r="O33" i="53"/>
  <c r="O42" i="53"/>
  <c r="O51" i="53"/>
  <c r="O53" i="53"/>
  <c r="O71" i="53"/>
  <c r="R33" i="53" l="1"/>
  <c r="C15" i="65"/>
  <c r="R27" i="53"/>
  <c r="C9" i="65"/>
  <c r="R36" i="53"/>
  <c r="C18" i="65"/>
  <c r="R50" i="53"/>
  <c r="C32" i="65"/>
  <c r="C32" i="63"/>
  <c r="R32" i="53"/>
  <c r="C14" i="65"/>
  <c r="R41" i="53"/>
  <c r="C23" i="65"/>
  <c r="R30" i="53"/>
  <c r="C12" i="65"/>
  <c r="R66" i="53"/>
  <c r="C19" i="64"/>
  <c r="C19" i="66"/>
  <c r="R44" i="53"/>
  <c r="C26" i="65"/>
  <c r="R55" i="53"/>
  <c r="C8" i="66"/>
  <c r="C8" i="64"/>
  <c r="E8" i="64" s="1"/>
  <c r="R72" i="53"/>
  <c r="C25" i="66"/>
  <c r="C25" i="64"/>
  <c r="R40" i="53"/>
  <c r="C22" i="65"/>
  <c r="R67" i="53"/>
  <c r="C20" i="66"/>
  <c r="C20" i="64"/>
  <c r="E20" i="64" s="1"/>
  <c r="R26" i="53"/>
  <c r="C8" i="65"/>
  <c r="R69" i="53"/>
  <c r="C22" i="66"/>
  <c r="C22" i="64"/>
  <c r="R34" i="53"/>
  <c r="C16" i="65"/>
  <c r="R70" i="53"/>
  <c r="C23" i="66"/>
  <c r="C23" i="64"/>
  <c r="E23" i="64" s="1"/>
  <c r="R68" i="53"/>
  <c r="C21" i="66"/>
  <c r="C21" i="64"/>
  <c r="R61" i="53"/>
  <c r="B61" i="53" s="1"/>
  <c r="C14" i="66"/>
  <c r="C14" i="64"/>
  <c r="E14" i="64" s="1"/>
  <c r="R59" i="53"/>
  <c r="B59" i="53" s="1"/>
  <c r="C12" i="66"/>
  <c r="C12" i="64"/>
  <c r="R49" i="53"/>
  <c r="C31" i="65"/>
  <c r="C31" i="63"/>
  <c r="R65" i="53"/>
  <c r="C18" i="66"/>
  <c r="C18" i="64"/>
  <c r="R52" i="53"/>
  <c r="C34" i="63"/>
  <c r="C34" i="65"/>
  <c r="R43" i="53"/>
  <c r="C25" i="65"/>
  <c r="R62" i="53"/>
  <c r="C15" i="64"/>
  <c r="C15" i="66"/>
  <c r="R39" i="53"/>
  <c r="C21" i="65"/>
  <c r="R57" i="53"/>
  <c r="B57" i="53" s="1"/>
  <c r="C10" i="66"/>
  <c r="C10" i="64"/>
  <c r="R28" i="53"/>
  <c r="C10" i="65"/>
  <c r="R71" i="53"/>
  <c r="C24" i="66"/>
  <c r="C24" i="64"/>
  <c r="R64" i="53"/>
  <c r="C17" i="64"/>
  <c r="E17" i="64" s="1"/>
  <c r="C17" i="66"/>
  <c r="R48" i="53"/>
  <c r="C30" i="65"/>
  <c r="C30" i="63"/>
  <c r="E30" i="63" s="1"/>
  <c r="R31" i="53"/>
  <c r="C13" i="65"/>
  <c r="R53" i="53"/>
  <c r="C35" i="65"/>
  <c r="C35" i="63"/>
  <c r="R56" i="53"/>
  <c r="C9" i="64"/>
  <c r="C9" i="66"/>
  <c r="R47" i="53"/>
  <c r="C29" i="65"/>
  <c r="C29" i="63"/>
  <c r="R38" i="53"/>
  <c r="C20" i="65"/>
  <c r="R51" i="53"/>
  <c r="C33" i="65"/>
  <c r="C33" i="63"/>
  <c r="E33" i="63" s="1"/>
  <c r="R63" i="53"/>
  <c r="C16" i="66"/>
  <c r="C16" i="64"/>
  <c r="R46" i="53"/>
  <c r="C28" i="65"/>
  <c r="R29" i="53"/>
  <c r="C11" i="65"/>
  <c r="R60" i="53"/>
  <c r="C13" i="66"/>
  <c r="C13" i="64"/>
  <c r="R42" i="53"/>
  <c r="C24" i="65"/>
  <c r="R45" i="53"/>
  <c r="C27" i="65"/>
  <c r="R35" i="53"/>
  <c r="C17" i="65"/>
  <c r="R37" i="53"/>
  <c r="C19" i="65"/>
  <c r="R8" i="53"/>
  <c r="C12" i="63"/>
  <c r="R17" i="53"/>
  <c r="C21" i="63"/>
  <c r="R10" i="53"/>
  <c r="C14" i="63"/>
  <c r="E14" i="63" s="1"/>
  <c r="R18" i="53"/>
  <c r="C22" i="63"/>
  <c r="R6" i="53"/>
  <c r="C10" i="63"/>
  <c r="R21" i="53"/>
  <c r="C25" i="63"/>
  <c r="R23" i="53"/>
  <c r="C27" i="63"/>
  <c r="R9" i="53"/>
  <c r="C13" i="63"/>
  <c r="R11" i="53"/>
  <c r="C15" i="63"/>
  <c r="R24" i="53"/>
  <c r="C28" i="63"/>
  <c r="R13" i="53"/>
  <c r="C17" i="63"/>
  <c r="E17" i="63" s="1"/>
  <c r="R16" i="53"/>
  <c r="C20" i="63"/>
  <c r="R22" i="53"/>
  <c r="C26" i="63"/>
  <c r="R12" i="53"/>
  <c r="C16" i="63"/>
  <c r="R15" i="53"/>
  <c r="C19" i="63"/>
  <c r="R7" i="53"/>
  <c r="C11" i="63"/>
  <c r="E11" i="63" s="1"/>
  <c r="R19" i="53"/>
  <c r="C23" i="63"/>
  <c r="R5" i="53"/>
  <c r="C9" i="63"/>
  <c r="R4" i="53"/>
  <c r="C8" i="63"/>
  <c r="E8" i="63" s="1"/>
  <c r="R14" i="53"/>
  <c r="C18" i="63"/>
  <c r="R20" i="53"/>
  <c r="C24" i="63"/>
  <c r="AL11" i="22"/>
  <c r="AK5" i="22"/>
  <c r="AK6" i="22"/>
  <c r="AK7" i="22"/>
  <c r="AK4" i="22"/>
  <c r="B12" i="66" l="1"/>
  <c r="B12" i="64"/>
  <c r="Y23" i="66"/>
  <c r="E23" i="66"/>
  <c r="E11" i="65"/>
  <c r="Y11" i="65"/>
  <c r="Y33" i="65"/>
  <c r="E33" i="65"/>
  <c r="Y30" i="65"/>
  <c r="E30" i="65"/>
  <c r="Y17" i="66"/>
  <c r="E17" i="66"/>
  <c r="B14" i="64"/>
  <c r="B14" i="66"/>
  <c r="L14" i="66" s="1"/>
  <c r="Y17" i="65"/>
  <c r="E17" i="65"/>
  <c r="Y24" i="65"/>
  <c r="E24" i="65"/>
  <c r="B10" i="64"/>
  <c r="E10" i="64" s="1"/>
  <c r="B10" i="66"/>
  <c r="E10" i="66" s="1"/>
  <c r="E14" i="65"/>
  <c r="Y14" i="65"/>
  <c r="E27" i="65"/>
  <c r="Y27" i="65"/>
  <c r="Y20" i="66"/>
  <c r="E20" i="66"/>
  <c r="E21" i="65"/>
  <c r="Y21" i="65"/>
  <c r="E12" i="64"/>
  <c r="E14" i="66"/>
  <c r="Y14" i="66"/>
  <c r="Y8" i="66"/>
  <c r="E8" i="66"/>
  <c r="E12" i="66"/>
  <c r="Y12" i="66"/>
  <c r="Y8" i="65"/>
  <c r="E8" i="65"/>
  <c r="I28" i="22"/>
  <c r="H28" i="22" s="1"/>
  <c r="I27" i="22"/>
  <c r="H27" i="22" s="1"/>
  <c r="I26" i="22"/>
  <c r="H26" i="22" s="1"/>
  <c r="I25" i="22"/>
  <c r="H25" i="22" s="1"/>
  <c r="I24" i="22"/>
  <c r="H24" i="22" s="1"/>
  <c r="I23" i="22"/>
  <c r="H23" i="22" s="1"/>
  <c r="I21" i="22"/>
  <c r="H21" i="22" s="1"/>
  <c r="I20" i="22"/>
  <c r="H20" i="22" s="1"/>
  <c r="I19" i="22"/>
  <c r="H19" i="22" s="1"/>
  <c r="I18" i="22"/>
  <c r="H18" i="22" s="1"/>
  <c r="I17" i="22"/>
  <c r="H17" i="22" s="1"/>
  <c r="I16" i="22"/>
  <c r="H16" i="22" s="1"/>
  <c r="I14" i="22"/>
  <c r="H14" i="22" s="1"/>
  <c r="I13" i="22"/>
  <c r="H13" i="22" s="1"/>
  <c r="I11" i="22"/>
  <c r="H11" i="22" s="1"/>
  <c r="I10" i="22"/>
  <c r="H10" i="22" s="1"/>
  <c r="I8" i="22"/>
  <c r="H8" i="22" s="1"/>
  <c r="I7" i="22"/>
  <c r="H7" i="22" s="1"/>
  <c r="I6" i="22"/>
  <c r="H6" i="22" s="1"/>
  <c r="E27" i="43"/>
  <c r="E23" i="43"/>
  <c r="E20" i="43"/>
  <c r="E19" i="43"/>
  <c r="E18" i="43"/>
  <c r="E28" i="43"/>
  <c r="E24" i="43"/>
  <c r="E26" i="43"/>
  <c r="E25" i="43"/>
  <c r="E21" i="43"/>
  <c r="E17" i="43"/>
  <c r="E16" i="43"/>
  <c r="E14" i="43"/>
  <c r="AD25" i="21" l="1"/>
  <c r="Z25" i="21"/>
  <c r="Y25" i="21"/>
  <c r="AD24" i="21"/>
  <c r="Z24" i="21"/>
  <c r="Y24" i="21"/>
  <c r="AD23" i="21"/>
  <c r="Z23" i="21"/>
  <c r="Y23" i="21"/>
  <c r="AD22" i="21"/>
  <c r="Z22" i="21"/>
  <c r="Y22" i="21"/>
  <c r="AD21" i="21"/>
  <c r="Z21" i="21"/>
  <c r="Y21" i="21"/>
  <c r="AD20" i="21"/>
  <c r="Z20" i="21"/>
  <c r="Y20" i="21"/>
  <c r="AD19" i="21"/>
  <c r="Z19" i="21"/>
  <c r="Y19" i="21"/>
  <c r="AD18" i="21"/>
  <c r="Z18" i="21"/>
  <c r="Y18" i="21"/>
  <c r="AD17" i="21"/>
  <c r="Z17" i="21"/>
  <c r="Y17" i="21"/>
  <c r="AD16" i="21"/>
  <c r="Z16" i="21"/>
  <c r="Y16" i="21"/>
  <c r="AD15" i="21"/>
  <c r="Z15" i="21"/>
  <c r="Y15" i="21"/>
  <c r="AD14" i="21"/>
  <c r="Z14" i="21"/>
  <c r="Y14" i="21"/>
  <c r="AD13" i="21"/>
  <c r="Z13" i="21"/>
  <c r="Y13" i="21"/>
  <c r="AD12" i="21"/>
  <c r="Z12" i="21"/>
  <c r="Y12" i="21"/>
  <c r="AD11" i="21"/>
  <c r="Z11" i="21"/>
  <c r="Y11" i="21"/>
  <c r="AD10" i="21"/>
  <c r="Z10" i="21"/>
  <c r="Y10" i="21"/>
  <c r="AD9" i="21"/>
  <c r="Z9" i="21"/>
  <c r="Y9" i="21"/>
  <c r="AD8" i="21"/>
  <c r="Z8" i="21"/>
  <c r="Y8" i="21"/>
  <c r="AD7" i="21"/>
  <c r="Z7" i="21"/>
  <c r="Y7" i="21"/>
  <c r="AD6" i="21"/>
  <c r="Z6" i="21"/>
  <c r="Y6" i="21"/>
  <c r="AD5" i="21"/>
  <c r="Z5" i="21"/>
  <c r="Y5" i="21"/>
  <c r="AD4" i="21"/>
  <c r="Z4" i="21"/>
  <c r="Y4" i="21"/>
  <c r="AD3" i="21"/>
  <c r="Z3" i="21"/>
  <c r="Y3" i="21"/>
  <c r="AD2" i="21"/>
  <c r="Z2" i="21"/>
  <c r="Y2" i="21"/>
  <c r="F22" i="56" l="1"/>
  <c r="F20" i="56"/>
  <c r="F18" i="56"/>
  <c r="F17" i="56"/>
  <c r="F14" i="56"/>
  <c r="F10" i="56"/>
  <c r="F9" i="56"/>
  <c r="F2" i="56"/>
  <c r="V4" i="34" l="1"/>
  <c r="X77" i="34" l="1"/>
  <c r="X76" i="34"/>
  <c r="X24" i="66" s="1"/>
  <c r="X75" i="34"/>
  <c r="X23" i="66" s="1"/>
  <c r="X74" i="34"/>
  <c r="X73" i="34"/>
  <c r="X21" i="66" s="1"/>
  <c r="X72" i="34"/>
  <c r="X20" i="66" s="1"/>
  <c r="X71" i="34"/>
  <c r="X70" i="34"/>
  <c r="X18" i="66" s="1"/>
  <c r="X69" i="34"/>
  <c r="X17" i="66" s="1"/>
  <c r="X68" i="34"/>
  <c r="X67" i="34"/>
  <c r="X15" i="66" s="1"/>
  <c r="X66" i="34"/>
  <c r="X14" i="66" s="1"/>
  <c r="X65" i="34"/>
  <c r="X64" i="34"/>
  <c r="X12" i="66" s="1"/>
  <c r="X63" i="34"/>
  <c r="X11" i="66" s="1"/>
  <c r="X62" i="34"/>
  <c r="X61" i="34"/>
  <c r="X9" i="66" s="1"/>
  <c r="X60" i="34"/>
  <c r="X8" i="66" s="1"/>
  <c r="X59" i="34"/>
  <c r="X58" i="34"/>
  <c r="X57" i="34"/>
  <c r="X56" i="34"/>
  <c r="X55" i="34"/>
  <c r="X54" i="34"/>
  <c r="X53" i="34"/>
  <c r="X52" i="34"/>
  <c r="X51" i="34"/>
  <c r="X50" i="34"/>
  <c r="X49" i="34"/>
  <c r="X48" i="34"/>
  <c r="X47" i="34"/>
  <c r="X46" i="34"/>
  <c r="X45" i="34"/>
  <c r="X44" i="34"/>
  <c r="X43" i="34"/>
  <c r="X42" i="34"/>
  <c r="X41" i="34"/>
  <c r="X40" i="34"/>
  <c r="X39" i="34"/>
  <c r="X38" i="34"/>
  <c r="X37" i="34"/>
  <c r="X36" i="34"/>
  <c r="X35" i="34"/>
  <c r="X34" i="34"/>
  <c r="X33" i="34"/>
  <c r="X32" i="34"/>
  <c r="X31" i="34"/>
  <c r="X30" i="34"/>
  <c r="X29" i="34"/>
  <c r="X28" i="34"/>
  <c r="X27" i="34"/>
  <c r="X26" i="34"/>
  <c r="X25" i="34"/>
  <c r="X24" i="34"/>
  <c r="X23" i="34"/>
  <c r="X22" i="34"/>
  <c r="X21" i="34"/>
  <c r="X20" i="34"/>
  <c r="X19" i="34"/>
  <c r="X18" i="34"/>
  <c r="X17" i="34"/>
  <c r="X16" i="34"/>
  <c r="X15" i="34"/>
  <c r="X14" i="34"/>
  <c r="X13" i="34"/>
  <c r="X12" i="34"/>
  <c r="X11" i="34"/>
  <c r="X9" i="34"/>
  <c r="X8" i="34"/>
  <c r="X10" i="34"/>
  <c r="F77" i="34"/>
  <c r="F76" i="34"/>
  <c r="F75" i="34"/>
  <c r="F74" i="34"/>
  <c r="F73" i="34"/>
  <c r="F72" i="34"/>
  <c r="F71" i="34"/>
  <c r="F70" i="34"/>
  <c r="F69" i="34"/>
  <c r="F68" i="34"/>
  <c r="F67" i="34"/>
  <c r="F66" i="34"/>
  <c r="F65" i="34"/>
  <c r="F64" i="34"/>
  <c r="F63" i="34"/>
  <c r="F62" i="34"/>
  <c r="F61" i="34"/>
  <c r="F60" i="34"/>
  <c r="F59" i="34"/>
  <c r="F58" i="34"/>
  <c r="F57" i="34"/>
  <c r="F56" i="34"/>
  <c r="F55" i="34"/>
  <c r="F54" i="34"/>
  <c r="F53" i="34"/>
  <c r="F52" i="34"/>
  <c r="F51" i="34"/>
  <c r="F50" i="34"/>
  <c r="F49" i="34"/>
  <c r="F48" i="34"/>
  <c r="F47" i="34"/>
  <c r="F46" i="34"/>
  <c r="F45" i="34"/>
  <c r="F44" i="34"/>
  <c r="F43" i="34"/>
  <c r="F42" i="34"/>
  <c r="F41" i="34"/>
  <c r="F40" i="34"/>
  <c r="F39" i="34"/>
  <c r="F38" i="34"/>
  <c r="F37" i="34"/>
  <c r="F36" i="34"/>
  <c r="F35"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F9" i="34"/>
  <c r="F8" i="34"/>
  <c r="X15" i="65" l="1"/>
  <c r="X11" i="56"/>
  <c r="X27" i="56"/>
  <c r="X21" i="65"/>
  <c r="X12" i="56"/>
  <c r="X20" i="56"/>
  <c r="X14" i="65"/>
  <c r="X22" i="65"/>
  <c r="X30" i="65"/>
  <c r="X21" i="56"/>
  <c r="X14" i="56"/>
  <c r="X8" i="65"/>
  <c r="X24" i="65"/>
  <c r="X15" i="56"/>
  <c r="X23" i="56"/>
  <c r="X9" i="65"/>
  <c r="X17" i="65"/>
  <c r="X25" i="65"/>
  <c r="X33" i="65"/>
  <c r="X24" i="56"/>
  <c r="X18" i="65"/>
  <c r="X34" i="65"/>
  <c r="X17" i="56"/>
  <c r="X11" i="65"/>
  <c r="X27" i="65"/>
  <c r="X31" i="65"/>
  <c r="X18" i="56"/>
  <c r="X26" i="56"/>
  <c r="X12" i="65"/>
  <c r="X28" i="65"/>
  <c r="X9" i="56"/>
  <c r="X8" i="56"/>
  <c r="F28" i="52" l="1"/>
  <c r="F27" i="52"/>
  <c r="F26" i="52"/>
  <c r="F25" i="52"/>
  <c r="F24" i="52"/>
  <c r="F23" i="52"/>
  <c r="F22" i="52"/>
  <c r="F21" i="52"/>
  <c r="F20" i="52"/>
  <c r="F19" i="52"/>
  <c r="F18" i="52"/>
  <c r="F17" i="52"/>
  <c r="F16" i="52"/>
  <c r="F15" i="52"/>
  <c r="F14" i="52"/>
  <c r="F13" i="52"/>
  <c r="F12" i="52"/>
  <c r="F11" i="52"/>
  <c r="F10" i="52"/>
  <c r="F9" i="52"/>
  <c r="Q3" i="53" l="1"/>
  <c r="N3" i="53"/>
  <c r="M3" i="53"/>
  <c r="L3" i="53"/>
  <c r="K3" i="53"/>
  <c r="J3" i="53"/>
  <c r="I3" i="53"/>
  <c r="F8" i="52" l="1"/>
  <c r="B15" i="53"/>
  <c r="O3" i="53"/>
  <c r="C8" i="34" s="1"/>
  <c r="B53" i="53"/>
  <c r="B34" i="53"/>
  <c r="B16" i="65" s="1"/>
  <c r="E16" i="65" s="1"/>
  <c r="C26" i="56"/>
  <c r="Y26" i="56" s="1"/>
  <c r="C28" i="56"/>
  <c r="B35" i="65" l="1"/>
  <c r="E35" i="65" s="1"/>
  <c r="B35" i="63"/>
  <c r="E35" i="63" s="1"/>
  <c r="C8" i="56"/>
  <c r="C9" i="56"/>
  <c r="R3" i="53"/>
  <c r="B3" i="53" s="1"/>
  <c r="B8" i="34" s="1"/>
  <c r="E8" i="34" s="1"/>
  <c r="C16" i="56"/>
  <c r="C10" i="56"/>
  <c r="C17" i="56"/>
  <c r="Y17" i="56" s="1"/>
  <c r="C12" i="56"/>
  <c r="C24" i="56"/>
  <c r="C23" i="56"/>
  <c r="Y23" i="56" s="1"/>
  <c r="C22" i="56"/>
  <c r="C18" i="56"/>
  <c r="C21" i="56"/>
  <c r="C15" i="56"/>
  <c r="C27" i="56"/>
  <c r="C14" i="56"/>
  <c r="Y14" i="56" s="1"/>
  <c r="C13" i="56"/>
  <c r="C25" i="56"/>
  <c r="C20" i="56"/>
  <c r="Y20" i="56" s="1"/>
  <c r="C11" i="56"/>
  <c r="Y11" i="56" s="1"/>
  <c r="C19" i="56"/>
  <c r="B13" i="53"/>
  <c r="B30" i="53"/>
  <c r="B65" i="53"/>
  <c r="B47" i="53"/>
  <c r="B12" i="53"/>
  <c r="B16" i="63" s="1"/>
  <c r="E16" i="63" s="1"/>
  <c r="C9" i="34"/>
  <c r="B8" i="53"/>
  <c r="B41" i="53"/>
  <c r="B42" i="53"/>
  <c r="B24" i="65" s="1"/>
  <c r="L24" i="65" s="1"/>
  <c r="B56" i="53"/>
  <c r="B49" i="53"/>
  <c r="C54" i="34"/>
  <c r="B69" i="53"/>
  <c r="C73" i="34"/>
  <c r="B63" i="53"/>
  <c r="C67" i="34"/>
  <c r="C35" i="34"/>
  <c r="C69" i="34"/>
  <c r="C52" i="34"/>
  <c r="C18" i="34"/>
  <c r="C17" i="52"/>
  <c r="C46" i="34"/>
  <c r="C33" i="34"/>
  <c r="B60" i="53"/>
  <c r="C64" i="34"/>
  <c r="C32" i="34"/>
  <c r="C17" i="34"/>
  <c r="C16" i="52"/>
  <c r="C74" i="34"/>
  <c r="C61" i="34"/>
  <c r="C47" i="34"/>
  <c r="C13" i="34"/>
  <c r="C12" i="52"/>
  <c r="C38" i="34"/>
  <c r="B54" i="53"/>
  <c r="C59" i="34"/>
  <c r="C25" i="34"/>
  <c r="C24" i="52"/>
  <c r="C34" i="34"/>
  <c r="C66" i="34"/>
  <c r="C53" i="34"/>
  <c r="B72" i="53"/>
  <c r="C76" i="34"/>
  <c r="B39" i="53"/>
  <c r="B21" i="65" s="1"/>
  <c r="L21" i="65" s="1"/>
  <c r="C44" i="34"/>
  <c r="B58" i="34"/>
  <c r="C30" i="34"/>
  <c r="B51" i="53"/>
  <c r="C56" i="34"/>
  <c r="B19" i="53"/>
  <c r="C24" i="34"/>
  <c r="C23" i="52"/>
  <c r="B22" i="53"/>
  <c r="C27" i="34"/>
  <c r="C26" i="52"/>
  <c r="C58" i="34"/>
  <c r="B40" i="53"/>
  <c r="B22" i="65" s="1"/>
  <c r="C45" i="34"/>
  <c r="B67" i="53"/>
  <c r="C71" i="34"/>
  <c r="C39" i="34"/>
  <c r="B18" i="53"/>
  <c r="C23" i="34"/>
  <c r="C22" i="52"/>
  <c r="C65" i="34"/>
  <c r="C51" i="34"/>
  <c r="C19" i="34"/>
  <c r="C18" i="52"/>
  <c r="C50" i="34"/>
  <c r="C37" i="34"/>
  <c r="C68" i="34"/>
  <c r="B31" i="53"/>
  <c r="B13" i="65" s="1"/>
  <c r="E13" i="65" s="1"/>
  <c r="C36" i="34"/>
  <c r="B26" i="53"/>
  <c r="B8" i="65" s="1"/>
  <c r="L8" i="65" s="1"/>
  <c r="C31" i="34"/>
  <c r="B17" i="53"/>
  <c r="B21" i="63" s="1"/>
  <c r="E21" i="63" s="1"/>
  <c r="C22" i="34"/>
  <c r="C21" i="52"/>
  <c r="C57" i="34"/>
  <c r="B43" i="53"/>
  <c r="B25" i="65" s="1"/>
  <c r="C48" i="34"/>
  <c r="B11" i="53"/>
  <c r="C16" i="34"/>
  <c r="C15" i="52"/>
  <c r="B37" i="53"/>
  <c r="B19" i="65" s="1"/>
  <c r="E19" i="65" s="1"/>
  <c r="C42" i="34"/>
  <c r="B24" i="53"/>
  <c r="C29" i="34"/>
  <c r="C28" i="52"/>
  <c r="C63" i="34"/>
  <c r="C28" i="34"/>
  <c r="C27" i="52"/>
  <c r="B28" i="53"/>
  <c r="B10" i="65" s="1"/>
  <c r="E10" i="65" s="1"/>
  <c r="B20" i="34"/>
  <c r="B19" i="52"/>
  <c r="C15" i="34"/>
  <c r="C14" i="52"/>
  <c r="C70" i="34"/>
  <c r="C14" i="34"/>
  <c r="C13" i="52"/>
  <c r="C49" i="34"/>
  <c r="B71" i="53"/>
  <c r="C75" i="34"/>
  <c r="B38" i="53"/>
  <c r="B20" i="65" s="1"/>
  <c r="E20" i="65" s="1"/>
  <c r="C43" i="34"/>
  <c r="C26" i="34"/>
  <c r="C25" i="52"/>
  <c r="C10" i="34"/>
  <c r="C9" i="52"/>
  <c r="B55" i="53"/>
  <c r="C60" i="34"/>
  <c r="C21" i="34"/>
  <c r="C20" i="52"/>
  <c r="B39" i="34"/>
  <c r="C12" i="34"/>
  <c r="C11" i="52"/>
  <c r="C62" i="34"/>
  <c r="C41" i="34"/>
  <c r="B68" i="53"/>
  <c r="C72" i="34"/>
  <c r="C40" i="34"/>
  <c r="B6" i="53"/>
  <c r="B10" i="63" s="1"/>
  <c r="E10" i="63" s="1"/>
  <c r="C11" i="34"/>
  <c r="C10" i="52"/>
  <c r="C77" i="34"/>
  <c r="B50" i="53"/>
  <c r="C55" i="34"/>
  <c r="C20" i="34"/>
  <c r="C19" i="52"/>
  <c r="B16" i="53"/>
  <c r="B20" i="63" s="1"/>
  <c r="E20" i="63" s="1"/>
  <c r="B36" i="53"/>
  <c r="B18" i="65" s="1"/>
  <c r="B21" i="53"/>
  <c r="B25" i="63" s="1"/>
  <c r="E25" i="63" s="1"/>
  <c r="B48" i="53"/>
  <c r="B52" i="53"/>
  <c r="B23" i="53"/>
  <c r="B64" i="53"/>
  <c r="B14" i="53"/>
  <c r="B32" i="53"/>
  <c r="B14" i="65" s="1"/>
  <c r="L14" i="65" s="1"/>
  <c r="B45" i="53"/>
  <c r="B27" i="65" s="1"/>
  <c r="L27" i="65" s="1"/>
  <c r="B20" i="53"/>
  <c r="B44" i="53"/>
  <c r="B26" i="65" s="1"/>
  <c r="E26" i="65" s="1"/>
  <c r="B10" i="53"/>
  <c r="B5" i="53"/>
  <c r="B35" i="53"/>
  <c r="B17" i="65" s="1"/>
  <c r="L17" i="65" s="1"/>
  <c r="B70" i="53"/>
  <c r="B25" i="53"/>
  <c r="C8" i="52"/>
  <c r="B27" i="53"/>
  <c r="B9" i="65" s="1"/>
  <c r="B66" i="53"/>
  <c r="B9" i="53"/>
  <c r="B46" i="53"/>
  <c r="B28" i="65" s="1"/>
  <c r="B62" i="53"/>
  <c r="B7" i="53"/>
  <c r="B29" i="53"/>
  <c r="B11" i="65" s="1"/>
  <c r="L11" i="65" s="1"/>
  <c r="B33" i="53"/>
  <c r="B15" i="65" s="1"/>
  <c r="B19" i="56"/>
  <c r="Y75" i="34"/>
  <c r="N23" i="64" s="1"/>
  <c r="Y69" i="34"/>
  <c r="N17" i="64" s="1"/>
  <c r="Y55" i="34"/>
  <c r="N32" i="63" s="1"/>
  <c r="Y52" i="34"/>
  <c r="N29" i="63" s="1"/>
  <c r="Y47" i="34"/>
  <c r="N24" i="63" s="1"/>
  <c r="Y29" i="34"/>
  <c r="N28" i="52" s="1"/>
  <c r="Y20" i="34"/>
  <c r="N19" i="52" s="1"/>
  <c r="Y33" i="34"/>
  <c r="N10" i="63" s="1"/>
  <c r="B13" i="63" l="1"/>
  <c r="E13" i="63" s="1"/>
  <c r="B17" i="63"/>
  <c r="B18" i="63"/>
  <c r="E18" i="63" s="1"/>
  <c r="B27" i="63"/>
  <c r="E27" i="63" s="1"/>
  <c r="B11" i="63"/>
  <c r="B9" i="63"/>
  <c r="E9" i="63" s="1"/>
  <c r="B14" i="63"/>
  <c r="Y22" i="65"/>
  <c r="E22" i="65"/>
  <c r="B15" i="64"/>
  <c r="E15" i="64" s="1"/>
  <c r="B15" i="66"/>
  <c r="B17" i="66"/>
  <c r="L17" i="66" s="1"/>
  <c r="B17" i="64"/>
  <c r="E25" i="65"/>
  <c r="Y25" i="65"/>
  <c r="B33" i="65"/>
  <c r="L33" i="65" s="1"/>
  <c r="B33" i="63"/>
  <c r="B13" i="66"/>
  <c r="E13" i="66" s="1"/>
  <c r="B13" i="64"/>
  <c r="E13" i="64" s="1"/>
  <c r="B46" i="34"/>
  <c r="E46" i="34" s="1"/>
  <c r="B23" i="65"/>
  <c r="E23" i="65" s="1"/>
  <c r="B16" i="66"/>
  <c r="E16" i="66" s="1"/>
  <c r="B16" i="64"/>
  <c r="E16" i="64" s="1"/>
  <c r="B34" i="65"/>
  <c r="B34" i="63"/>
  <c r="E34" i="63" s="1"/>
  <c r="B19" i="66"/>
  <c r="E19" i="66" s="1"/>
  <c r="B19" i="64"/>
  <c r="E19" i="64" s="1"/>
  <c r="B30" i="65"/>
  <c r="L30" i="65" s="1"/>
  <c r="B30" i="63"/>
  <c r="B22" i="64"/>
  <c r="E22" i="64" s="1"/>
  <c r="B22" i="66"/>
  <c r="E22" i="66" s="1"/>
  <c r="B23" i="66"/>
  <c r="L23" i="66" s="1"/>
  <c r="B23" i="64"/>
  <c r="B28" i="63"/>
  <c r="E28" i="63" s="1"/>
  <c r="B24" i="66"/>
  <c r="B24" i="64"/>
  <c r="E24" i="64" s="1"/>
  <c r="B22" i="63"/>
  <c r="E22" i="63" s="1"/>
  <c r="B29" i="65"/>
  <c r="E29" i="65" s="1"/>
  <c r="B29" i="63"/>
  <c r="E29" i="63" s="1"/>
  <c r="E28" i="65"/>
  <c r="Y28" i="65"/>
  <c r="B8" i="66"/>
  <c r="L8" i="66" s="1"/>
  <c r="B8" i="64"/>
  <c r="E9" i="65"/>
  <c r="Y9" i="65"/>
  <c r="B24" i="63"/>
  <c r="E24" i="63" s="1"/>
  <c r="E15" i="65"/>
  <c r="Y15" i="65"/>
  <c r="Y18" i="65"/>
  <c r="E18" i="65"/>
  <c r="B20" i="66"/>
  <c r="L20" i="66" s="1"/>
  <c r="B20" i="64"/>
  <c r="B31" i="65"/>
  <c r="B31" i="63"/>
  <c r="E31" i="63" s="1"/>
  <c r="B18" i="66"/>
  <c r="B18" i="64"/>
  <c r="E18" i="64" s="1"/>
  <c r="B21" i="64"/>
  <c r="E21" i="64" s="1"/>
  <c r="B21" i="66"/>
  <c r="B32" i="65"/>
  <c r="E32" i="65" s="1"/>
  <c r="B32" i="63"/>
  <c r="E32" i="63" s="1"/>
  <c r="B15" i="63"/>
  <c r="E15" i="63" s="1"/>
  <c r="B23" i="63"/>
  <c r="E23" i="63" s="1"/>
  <c r="B25" i="66"/>
  <c r="E25" i="66" s="1"/>
  <c r="B25" i="64"/>
  <c r="E25" i="64" s="1"/>
  <c r="B9" i="66"/>
  <c r="B9" i="64"/>
  <c r="E9" i="64" s="1"/>
  <c r="B35" i="34"/>
  <c r="E35" i="34" s="1"/>
  <c r="B12" i="65"/>
  <c r="B19" i="63"/>
  <c r="E19" i="63" s="1"/>
  <c r="B12" i="52"/>
  <c r="E12" i="52" s="1"/>
  <c r="B12" i="63"/>
  <c r="E12" i="63" s="1"/>
  <c r="B26" i="56"/>
  <c r="L26" i="56" s="1"/>
  <c r="B26" i="63"/>
  <c r="E26" i="63" s="1"/>
  <c r="B69" i="34"/>
  <c r="B28" i="56"/>
  <c r="E28" i="56" s="1"/>
  <c r="E26" i="56"/>
  <c r="E19" i="56"/>
  <c r="B9" i="56"/>
  <c r="B13" i="34"/>
  <c r="E13" i="34" s="1"/>
  <c r="B17" i="56"/>
  <c r="L17" i="56" s="1"/>
  <c r="B10" i="56"/>
  <c r="E10" i="56" s="1"/>
  <c r="B14" i="56"/>
  <c r="L14" i="56" s="1"/>
  <c r="B27" i="56"/>
  <c r="B11" i="56"/>
  <c r="L11" i="56" s="1"/>
  <c r="B21" i="56"/>
  <c r="B23" i="56"/>
  <c r="L23" i="56" s="1"/>
  <c r="B25" i="56"/>
  <c r="B13" i="56"/>
  <c r="B18" i="56"/>
  <c r="B15" i="56"/>
  <c r="B17" i="34"/>
  <c r="E17" i="34" s="1"/>
  <c r="B16" i="56"/>
  <c r="B24" i="56"/>
  <c r="B20" i="56"/>
  <c r="L20" i="56" s="1"/>
  <c r="B22" i="56"/>
  <c r="B12" i="56"/>
  <c r="B16" i="52"/>
  <c r="E16" i="52" s="1"/>
  <c r="B61" i="34"/>
  <c r="E61" i="34" s="1"/>
  <c r="B52" i="34"/>
  <c r="E52" i="34" s="1"/>
  <c r="B17" i="52"/>
  <c r="E17" i="52" s="1"/>
  <c r="B18" i="34"/>
  <c r="E18" i="34" s="1"/>
  <c r="B47" i="34"/>
  <c r="E47" i="34" s="1"/>
  <c r="E19" i="52"/>
  <c r="E20" i="34"/>
  <c r="B14" i="34"/>
  <c r="E14" i="34" s="1"/>
  <c r="B13" i="52"/>
  <c r="E13" i="52" s="1"/>
  <c r="B77" i="34"/>
  <c r="E77" i="34" s="1"/>
  <c r="B10" i="34"/>
  <c r="E10" i="34" s="1"/>
  <c r="B9" i="52"/>
  <c r="B34" i="34"/>
  <c r="E34" i="34" s="1"/>
  <c r="B66" i="34"/>
  <c r="E66" i="34" s="1"/>
  <c r="B70" i="34"/>
  <c r="E70" i="34" s="1"/>
  <c r="B25" i="34"/>
  <c r="E25" i="34" s="1"/>
  <c r="B24" i="52"/>
  <c r="E24" i="52" s="1"/>
  <c r="B68" i="34"/>
  <c r="E68" i="34" s="1"/>
  <c r="B21" i="34"/>
  <c r="E21" i="34" s="1"/>
  <c r="B20" i="52"/>
  <c r="E20" i="52" s="1"/>
  <c r="B62" i="34"/>
  <c r="E62" i="34" s="1"/>
  <c r="B30" i="34"/>
  <c r="E30" i="34" s="1"/>
  <c r="B4" i="53"/>
  <c r="B57" i="34"/>
  <c r="E57" i="34" s="1"/>
  <c r="B72" i="34"/>
  <c r="E72" i="34" s="1"/>
  <c r="B12" i="34"/>
  <c r="E12" i="34" s="1"/>
  <c r="B11" i="52"/>
  <c r="E11" i="52" s="1"/>
  <c r="B50" i="34"/>
  <c r="E50" i="34" s="1"/>
  <c r="B53" i="34"/>
  <c r="E53" i="34" s="1"/>
  <c r="B37" i="34"/>
  <c r="E37" i="34" s="1"/>
  <c r="B65" i="34"/>
  <c r="E65" i="34" s="1"/>
  <c r="B74" i="34"/>
  <c r="E74" i="34" s="1"/>
  <c r="B55" i="34"/>
  <c r="E55" i="34" s="1"/>
  <c r="B38" i="34"/>
  <c r="E38" i="34" s="1"/>
  <c r="B32" i="34"/>
  <c r="E32" i="34" s="1"/>
  <c r="B49" i="34"/>
  <c r="E49" i="34" s="1"/>
  <c r="B51" i="34"/>
  <c r="E51" i="34" s="1"/>
  <c r="B40" i="34"/>
  <c r="E40" i="34" s="1"/>
  <c r="B15" i="34"/>
  <c r="E15" i="34" s="1"/>
  <c r="B14" i="52"/>
  <c r="E14" i="52" s="1"/>
  <c r="B28" i="34"/>
  <c r="E28" i="34" s="1"/>
  <c r="B27" i="52"/>
  <c r="E27" i="52" s="1"/>
  <c r="B75" i="34"/>
  <c r="E75" i="34" s="1"/>
  <c r="B33" i="34"/>
  <c r="E33" i="34" s="1"/>
  <c r="B16" i="34"/>
  <c r="E16" i="34" s="1"/>
  <c r="B15" i="52"/>
  <c r="E15" i="52" s="1"/>
  <c r="B36" i="34"/>
  <c r="E36" i="34" s="1"/>
  <c r="E58" i="34"/>
  <c r="B76" i="34"/>
  <c r="E76" i="34" s="1"/>
  <c r="B60" i="34"/>
  <c r="E60" i="34" s="1"/>
  <c r="B42" i="34"/>
  <c r="E42" i="34" s="1"/>
  <c r="E39" i="34"/>
  <c r="E69" i="34"/>
  <c r="B54" i="34"/>
  <c r="E54" i="34" s="1"/>
  <c r="B31" i="34"/>
  <c r="E31" i="34" s="1"/>
  <c r="B23" i="34"/>
  <c r="E23" i="34" s="1"/>
  <c r="B22" i="52"/>
  <c r="B24" i="34"/>
  <c r="E24" i="34" s="1"/>
  <c r="B23" i="52"/>
  <c r="B63" i="34"/>
  <c r="E63" i="34" s="1"/>
  <c r="B29" i="34"/>
  <c r="E29" i="34" s="1"/>
  <c r="B28" i="52"/>
  <c r="E28" i="52" s="1"/>
  <c r="B48" i="34"/>
  <c r="E48" i="34" s="1"/>
  <c r="B45" i="34"/>
  <c r="E45" i="34" s="1"/>
  <c r="B73" i="34"/>
  <c r="E73" i="34" s="1"/>
  <c r="B22" i="34"/>
  <c r="E22" i="34" s="1"/>
  <c r="B21" i="52"/>
  <c r="B71" i="34"/>
  <c r="E71" i="34" s="1"/>
  <c r="B59" i="34"/>
  <c r="E59" i="34" s="1"/>
  <c r="B26" i="34"/>
  <c r="E26" i="34" s="1"/>
  <c r="B25" i="52"/>
  <c r="E25" i="52" s="1"/>
  <c r="B11" i="34"/>
  <c r="E11" i="34" s="1"/>
  <c r="B10" i="52"/>
  <c r="B43" i="34"/>
  <c r="E43" i="34" s="1"/>
  <c r="B56" i="34"/>
  <c r="E56" i="34" s="1"/>
  <c r="B44" i="34"/>
  <c r="E44" i="34" s="1"/>
  <c r="B64" i="34"/>
  <c r="E64" i="34" s="1"/>
  <c r="B19" i="34"/>
  <c r="E19" i="34" s="1"/>
  <c r="B18" i="52"/>
  <c r="E18" i="52" s="1"/>
  <c r="B41" i="34"/>
  <c r="E41" i="34" s="1"/>
  <c r="B67" i="34"/>
  <c r="E67" i="34" s="1"/>
  <c r="B27" i="34"/>
  <c r="E27" i="34" s="1"/>
  <c r="B26" i="52"/>
  <c r="E26" i="52" s="1"/>
  <c r="E21" i="66" l="1"/>
  <c r="Y21" i="66"/>
  <c r="Y24" i="66"/>
  <c r="E24" i="66"/>
  <c r="Y15" i="66"/>
  <c r="E15" i="66"/>
  <c r="E12" i="65"/>
  <c r="Y12" i="65"/>
  <c r="E18" i="66"/>
  <c r="Y18" i="66"/>
  <c r="E34" i="65"/>
  <c r="Y34" i="65"/>
  <c r="E31" i="65"/>
  <c r="Y31" i="65"/>
  <c r="Y9" i="66"/>
  <c r="E9" i="66"/>
  <c r="Y27" i="56"/>
  <c r="Y18" i="56"/>
  <c r="Y15" i="56"/>
  <c r="Y12" i="56"/>
  <c r="Y24" i="56"/>
  <c r="Y21" i="56"/>
  <c r="B8" i="56"/>
  <c r="L8" i="56" s="1"/>
  <c r="B8" i="63"/>
  <c r="Y9" i="56"/>
  <c r="E23" i="56"/>
  <c r="E21" i="56"/>
  <c r="E27" i="56"/>
  <c r="E11" i="56"/>
  <c r="E16" i="56"/>
  <c r="E15" i="56"/>
  <c r="E13" i="56"/>
  <c r="E25" i="56"/>
  <c r="E24" i="56"/>
  <c r="E12" i="56"/>
  <c r="E8" i="56"/>
  <c r="E9" i="56"/>
  <c r="Y8" i="56"/>
  <c r="E17" i="56"/>
  <c r="E9" i="52"/>
  <c r="E20" i="56"/>
  <c r="E14" i="56"/>
  <c r="E22" i="56"/>
  <c r="E18" i="56"/>
  <c r="B9" i="34"/>
  <c r="E9" i="34" s="1"/>
  <c r="E10" i="52"/>
  <c r="E23" i="52"/>
  <c r="B8" i="52"/>
  <c r="E8" i="52" s="1"/>
  <c r="E22" i="52"/>
  <c r="E21" i="52"/>
  <c r="F4" i="65" l="1"/>
  <c r="F4" i="66"/>
  <c r="F4" i="56"/>
  <c r="E13" i="43"/>
  <c r="E11" i="43"/>
  <c r="E10" i="43"/>
  <c r="E8" i="43"/>
  <c r="E7" i="43"/>
  <c r="E6" i="43"/>
  <c r="Q13" i="21" l="1"/>
  <c r="Q14" i="21"/>
  <c r="Q15" i="21"/>
  <c r="Q16" i="21"/>
  <c r="Q17" i="21"/>
  <c r="Q18" i="21"/>
  <c r="Q19" i="21"/>
  <c r="Q20" i="21"/>
  <c r="Q21" i="21"/>
  <c r="Q22" i="21"/>
  <c r="Q23" i="21"/>
  <c r="AA21" i="22" l="1"/>
  <c r="AA20" i="22"/>
  <c r="AA18" i="22"/>
  <c r="AA25" i="22"/>
  <c r="AA17" i="22"/>
  <c r="AA24" i="22"/>
  <c r="AA16" i="22"/>
  <c r="AA23" i="22"/>
  <c r="AA15" i="22"/>
  <c r="AA19" i="22"/>
  <c r="AA22" i="22"/>
  <c r="T17" i="34"/>
  <c r="I5" i="22" l="1"/>
  <c r="E5" i="43"/>
  <c r="E3" i="43"/>
  <c r="D3" i="43"/>
  <c r="U4" i="34" l="1"/>
  <c r="T4" i="34"/>
  <c r="S4" i="34"/>
  <c r="R4" i="34"/>
  <c r="Y11" i="34" l="1"/>
  <c r="N10" i="52" s="1"/>
  <c r="Y9" i="34"/>
  <c r="N8" i="52" s="1"/>
  <c r="Y8" i="34"/>
  <c r="O8" i="20"/>
  <c r="O7" i="20"/>
  <c r="Y56" i="34" l="1"/>
  <c r="N33" i="63" s="1"/>
  <c r="Y26" i="34"/>
  <c r="N25" i="52" s="1"/>
  <c r="Y49" i="34"/>
  <c r="N26" i="63" s="1"/>
  <c r="Y59" i="34"/>
  <c r="Y46" i="34"/>
  <c r="N23" i="63" s="1"/>
  <c r="Y72" i="34"/>
  <c r="N20" i="64" s="1"/>
  <c r="Y24" i="34"/>
  <c r="N23" i="52" s="1"/>
  <c r="Y77" i="34"/>
  <c r="N25" i="64" s="1"/>
  <c r="Y30" i="34"/>
  <c r="Y18" i="34"/>
  <c r="N17" i="52" s="1"/>
  <c r="Y71" i="34"/>
  <c r="N19" i="64" s="1"/>
  <c r="Y50" i="34"/>
  <c r="N27" i="63" s="1"/>
  <c r="Y68" i="34"/>
  <c r="N16" i="64" s="1"/>
  <c r="T14" i="34" l="1"/>
  <c r="T13" i="34"/>
  <c r="T15" i="34"/>
  <c r="T8" i="34"/>
  <c r="T9" i="34"/>
  <c r="T20" i="34"/>
  <c r="O6" i="20"/>
  <c r="O5" i="20"/>
  <c r="O4" i="20"/>
  <c r="D11" i="20"/>
  <c r="D4" i="20"/>
  <c r="O22" i="64" l="1"/>
  <c r="O18" i="64"/>
  <c r="G18" i="66" s="1"/>
  <c r="O34" i="63"/>
  <c r="G34" i="65" s="1"/>
  <c r="M33" i="65" s="1"/>
  <c r="O30" i="63"/>
  <c r="O22" i="63"/>
  <c r="G22" i="65" s="1"/>
  <c r="O18" i="63"/>
  <c r="G18" i="65" s="1"/>
  <c r="O27" i="52"/>
  <c r="G27" i="56" s="1"/>
  <c r="M26" i="56" s="1"/>
  <c r="O19" i="52"/>
  <c r="O15" i="52"/>
  <c r="G15" i="56" s="1"/>
  <c r="O25" i="64"/>
  <c r="O21" i="64"/>
  <c r="G21" i="66" s="1"/>
  <c r="O13" i="64"/>
  <c r="O9" i="64"/>
  <c r="G9" i="66" s="1"/>
  <c r="O33" i="63"/>
  <c r="O29" i="63"/>
  <c r="O25" i="63"/>
  <c r="G25" i="65" s="1"/>
  <c r="M24" i="65" s="1"/>
  <c r="O21" i="63"/>
  <c r="O13" i="63"/>
  <c r="O9" i="63"/>
  <c r="G9" i="65" s="1"/>
  <c r="M8" i="65" s="1"/>
  <c r="O22" i="52"/>
  <c r="O18" i="52"/>
  <c r="G18" i="56" s="1"/>
  <c r="O24" i="64"/>
  <c r="G24" i="66" s="1"/>
  <c r="O16" i="64"/>
  <c r="O12" i="64"/>
  <c r="G12" i="66" s="1"/>
  <c r="M11" i="66" s="1"/>
  <c r="O32" i="63"/>
  <c r="O28" i="63"/>
  <c r="G28" i="65" s="1"/>
  <c r="M27" i="65" s="1"/>
  <c r="O24" i="63"/>
  <c r="O16" i="63"/>
  <c r="O12" i="63"/>
  <c r="G12" i="65" s="1"/>
  <c r="O25" i="52"/>
  <c r="O21" i="52"/>
  <c r="G21" i="56" s="1"/>
  <c r="M20" i="56" s="1"/>
  <c r="O13" i="52"/>
  <c r="O9" i="52"/>
  <c r="G9" i="56" s="1"/>
  <c r="O19" i="64"/>
  <c r="O15" i="64"/>
  <c r="G15" i="66" s="1"/>
  <c r="M14" i="66" s="1"/>
  <c r="O31" i="63"/>
  <c r="G31" i="65" s="1"/>
  <c r="M30" i="65" s="1"/>
  <c r="O27" i="63"/>
  <c r="O15" i="63"/>
  <c r="G15" i="65" s="1"/>
  <c r="M14" i="65" s="1"/>
  <c r="O28" i="52"/>
  <c r="O24" i="52"/>
  <c r="G24" i="56" s="1"/>
  <c r="M23" i="56" s="1"/>
  <c r="O16" i="52"/>
  <c r="O12" i="52"/>
  <c r="G12" i="56" s="1"/>
  <c r="M11" i="56" s="1"/>
  <c r="O35" i="63"/>
  <c r="O19" i="63"/>
  <c r="M11" i="65"/>
  <c r="M8" i="66"/>
  <c r="M23" i="66"/>
  <c r="M17" i="66"/>
  <c r="M21" i="65"/>
  <c r="M17" i="65"/>
  <c r="M20" i="66"/>
  <c r="M14" i="56"/>
  <c r="M17" i="56"/>
  <c r="M8" i="56"/>
  <c r="Y61" i="34"/>
  <c r="N9" i="64" s="1"/>
  <c r="Y41" i="34"/>
  <c r="N18" i="63" s="1"/>
  <c r="Y73" i="34"/>
  <c r="N21" i="64" s="1"/>
  <c r="Y35" i="34"/>
  <c r="N12" i="63" s="1"/>
  <c r="Y48" i="34"/>
  <c r="N25" i="63" s="1"/>
  <c r="Y32" i="34"/>
  <c r="N9" i="63" s="1"/>
  <c r="Y28" i="34"/>
  <c r="N27" i="52" s="1"/>
  <c r="Y51" i="34"/>
  <c r="N28" i="63" s="1"/>
  <c r="T29" i="34"/>
  <c r="Y19" i="34"/>
  <c r="N18" i="52" s="1"/>
  <c r="Y36" i="34"/>
  <c r="N13" i="63" s="1"/>
  <c r="Y45" i="34"/>
  <c r="N22" i="63" s="1"/>
  <c r="Y16" i="34"/>
  <c r="N15" i="52" s="1"/>
  <c r="Y76" i="34"/>
  <c r="N24" i="64" s="1"/>
  <c r="Y38" i="34"/>
  <c r="N15" i="63" s="1"/>
  <c r="Y39" i="34"/>
  <c r="N16" i="63" s="1"/>
  <c r="Y43" i="34"/>
  <c r="N20" i="63" s="1"/>
  <c r="Y23" i="34"/>
  <c r="N22" i="52" s="1"/>
  <c r="Y66" i="34"/>
  <c r="N14" i="64" s="1"/>
  <c r="Y42" i="34"/>
  <c r="N19" i="63" s="1"/>
  <c r="Y63" i="34"/>
  <c r="N11" i="64" s="1"/>
  <c r="Y13" i="34"/>
  <c r="N12" i="52" s="1"/>
  <c r="Y25" i="34"/>
  <c r="N24" i="52" s="1"/>
  <c r="Y58" i="34"/>
  <c r="N35" i="63" s="1"/>
  <c r="Y70" i="34"/>
  <c r="N18" i="64" s="1"/>
  <c r="Y22" i="34"/>
  <c r="N21" i="52" s="1"/>
  <c r="Y44" i="34"/>
  <c r="N21" i="63" s="1"/>
  <c r="Y54" i="34"/>
  <c r="N31" i="63" s="1"/>
  <c r="Y65" i="34"/>
  <c r="N13" i="64" s="1"/>
  <c r="Y14" i="34"/>
  <c r="N13" i="52" s="1"/>
  <c r="Y31" i="34"/>
  <c r="N8" i="63" s="1"/>
  <c r="Y62" i="34"/>
  <c r="N10" i="64" s="1"/>
  <c r="Y64" i="34"/>
  <c r="N12" i="64" s="1"/>
  <c r="Y40" i="34"/>
  <c r="N17" i="63" s="1"/>
  <c r="Y57" i="34"/>
  <c r="N34" i="63" s="1"/>
  <c r="Y17" i="34"/>
  <c r="N16" i="52" s="1"/>
  <c r="Y21" i="34"/>
  <c r="N20" i="52" s="1"/>
  <c r="Y37" i="34"/>
  <c r="N14" i="63" s="1"/>
  <c r="Y15" i="34"/>
  <c r="N14" i="52" s="1"/>
  <c r="Y53" i="34"/>
  <c r="N30" i="63" s="1"/>
  <c r="Y67" i="34"/>
  <c r="N15" i="64" s="1"/>
  <c r="Y27" i="34"/>
  <c r="N26" i="52" s="1"/>
  <c r="Y60" i="34"/>
  <c r="N8" i="64" s="1"/>
  <c r="Y74" i="34"/>
  <c r="N22" i="64" s="1"/>
  <c r="T10" i="34"/>
  <c r="T11" i="34"/>
  <c r="T12" i="34"/>
  <c r="T28" i="34"/>
  <c r="Y34" i="34"/>
  <c r="N11" i="63" s="1"/>
  <c r="Y10" i="34"/>
  <c r="N9" i="52" s="1"/>
  <c r="Y12" i="34"/>
  <c r="N11" i="52" s="1"/>
  <c r="N17" i="56" l="1"/>
  <c r="O17" i="56" s="1"/>
  <c r="G17" i="56" s="1"/>
  <c r="R17" i="56"/>
  <c r="P17" i="56"/>
  <c r="Q17" i="56" s="1"/>
  <c r="R26" i="56"/>
  <c r="P26" i="56"/>
  <c r="Q26" i="56" s="1"/>
  <c r="N26" i="56"/>
  <c r="O26" i="56" s="1"/>
  <c r="G26" i="56" s="1"/>
  <c r="N21" i="65"/>
  <c r="O21" i="65" s="1"/>
  <c r="G21" i="65" s="1"/>
  <c r="R21" i="65"/>
  <c r="P21" i="65"/>
  <c r="Q21" i="65" s="1"/>
  <c r="P17" i="66"/>
  <c r="Q17" i="66" s="1"/>
  <c r="N17" i="66"/>
  <c r="O17" i="66" s="1"/>
  <c r="G17" i="66" s="1"/>
  <c r="R17" i="66"/>
  <c r="R30" i="65"/>
  <c r="P30" i="65"/>
  <c r="Q30" i="65" s="1"/>
  <c r="N30" i="65"/>
  <c r="O30" i="65" s="1"/>
  <c r="G30" i="65" s="1"/>
  <c r="N11" i="56"/>
  <c r="O11" i="56" s="1"/>
  <c r="G11" i="56" s="1"/>
  <c r="P11" i="56"/>
  <c r="Q11" i="56" s="1"/>
  <c r="R11" i="56"/>
  <c r="P20" i="66"/>
  <c r="Q20" i="66" s="1"/>
  <c r="N20" i="66"/>
  <c r="O20" i="66" s="1"/>
  <c r="G20" i="66" s="1"/>
  <c r="R20" i="66"/>
  <c r="N33" i="65"/>
  <c r="O33" i="65" s="1"/>
  <c r="G33" i="65" s="1"/>
  <c r="R33" i="65"/>
  <c r="P33" i="65"/>
  <c r="Q33" i="65" s="1"/>
  <c r="N14" i="66"/>
  <c r="O14" i="66" s="1"/>
  <c r="G14" i="66" s="1"/>
  <c r="P14" i="66"/>
  <c r="Q14" i="66" s="1"/>
  <c r="R14" i="66"/>
  <c r="R20" i="56"/>
  <c r="N20" i="56"/>
  <c r="O20" i="56" s="1"/>
  <c r="G20" i="56" s="1"/>
  <c r="P20" i="56"/>
  <c r="Q20" i="56" s="1"/>
  <c r="R14" i="56"/>
  <c r="N14" i="56"/>
  <c r="O14" i="56" s="1"/>
  <c r="G14" i="56" s="1"/>
  <c r="P14" i="56"/>
  <c r="Q14" i="56" s="1"/>
  <c r="N14" i="65"/>
  <c r="O14" i="65" s="1"/>
  <c r="G14" i="65" s="1"/>
  <c r="R14" i="65"/>
  <c r="P14" i="65"/>
  <c r="Q14" i="65" s="1"/>
  <c r="P27" i="65"/>
  <c r="Q27" i="65" s="1"/>
  <c r="R27" i="65"/>
  <c r="N27" i="65"/>
  <c r="O27" i="65" s="1"/>
  <c r="G27" i="65" s="1"/>
  <c r="N11" i="66"/>
  <c r="O11" i="66" s="1"/>
  <c r="G11" i="66" s="1"/>
  <c r="R11" i="66"/>
  <c r="P11" i="66"/>
  <c r="Q11" i="66" s="1"/>
  <c r="R23" i="66"/>
  <c r="P23" i="66"/>
  <c r="Q23" i="66" s="1"/>
  <c r="N23" i="66"/>
  <c r="O23" i="66" s="1"/>
  <c r="G23" i="66" s="1"/>
  <c r="N24" i="65"/>
  <c r="O24" i="65" s="1"/>
  <c r="G24" i="65" s="1"/>
  <c r="P24" i="65"/>
  <c r="Q24" i="65" s="1"/>
  <c r="R24" i="65"/>
  <c r="P23" i="56"/>
  <c r="Q23" i="56" s="1"/>
  <c r="N23" i="56"/>
  <c r="O23" i="56" s="1"/>
  <c r="G23" i="56" s="1"/>
  <c r="R23" i="56"/>
  <c r="P17" i="65"/>
  <c r="Q17" i="65" s="1"/>
  <c r="R17" i="65"/>
  <c r="N17" i="65"/>
  <c r="O17" i="65" s="1"/>
  <c r="G17" i="65" s="1"/>
  <c r="N8" i="65"/>
  <c r="O8" i="65" s="1"/>
  <c r="G8" i="65" s="1"/>
  <c r="R8" i="65"/>
  <c r="P8" i="65"/>
  <c r="Q8" i="65" s="1"/>
  <c r="P8" i="66"/>
  <c r="Q8" i="66" s="1"/>
  <c r="R8" i="66"/>
  <c r="N8" i="66"/>
  <c r="O8" i="66" s="1"/>
  <c r="G8" i="66" s="1"/>
  <c r="R11" i="65"/>
  <c r="N11" i="65"/>
  <c r="O11" i="65" s="1"/>
  <c r="G11" i="65" s="1"/>
  <c r="P11" i="65"/>
  <c r="Q11" i="65" s="1"/>
  <c r="S21" i="21"/>
  <c r="S6" i="21"/>
  <c r="R7" i="21"/>
  <c r="S3" i="21"/>
  <c r="R6" i="21"/>
  <c r="S23" i="21"/>
  <c r="R16" i="21"/>
  <c r="R10" i="21"/>
  <c r="S14" i="21"/>
  <c r="R3" i="21"/>
  <c r="R12" i="21"/>
  <c r="R23" i="21"/>
  <c r="S9" i="21"/>
  <c r="S22" i="21"/>
  <c r="S7" i="21"/>
  <c r="S15" i="21"/>
  <c r="R13" i="21"/>
  <c r="S12" i="21"/>
  <c r="R22" i="21"/>
  <c r="R20" i="21"/>
  <c r="S4" i="21"/>
  <c r="R4" i="21"/>
  <c r="R17" i="21"/>
  <c r="R15" i="21"/>
  <c r="S11" i="21"/>
  <c r="S19" i="21"/>
  <c r="R8" i="21"/>
  <c r="R19" i="21"/>
  <c r="R11" i="21"/>
  <c r="R14" i="21"/>
  <c r="S5" i="21"/>
  <c r="S13" i="21"/>
  <c r="S8" i="21"/>
  <c r="S10" i="21"/>
  <c r="S18" i="21"/>
  <c r="R5" i="21"/>
  <c r="R9" i="21"/>
  <c r="R18" i="21"/>
  <c r="S20" i="21"/>
  <c r="S17" i="21"/>
  <c r="S16" i="21"/>
  <c r="R21" i="21"/>
  <c r="AC15" i="22" l="1"/>
  <c r="AC20" i="22"/>
  <c r="AC21" i="22"/>
  <c r="AC22" i="22"/>
  <c r="AC24" i="22"/>
  <c r="AC18" i="22"/>
  <c r="AC23" i="22"/>
  <c r="AC25" i="22"/>
  <c r="AC17" i="22"/>
  <c r="AC19" i="22"/>
  <c r="AC16" i="22"/>
  <c r="AB3" i="21"/>
  <c r="B5" i="22" s="1"/>
  <c r="AB2" i="21"/>
  <c r="Q12" i="21"/>
  <c r="Q11" i="21"/>
  <c r="Q10" i="21"/>
  <c r="Q9" i="21"/>
  <c r="Q8" i="21"/>
  <c r="Q7" i="21"/>
  <c r="Q6" i="21"/>
  <c r="Q5" i="21"/>
  <c r="AA10" i="22" l="1"/>
  <c r="AA12" i="22"/>
  <c r="AA9" i="22"/>
  <c r="AA13" i="22"/>
  <c r="AA14" i="22"/>
  <c r="AA11" i="22"/>
  <c r="AA8" i="22"/>
  <c r="B4" i="22"/>
  <c r="T33" i="34"/>
  <c r="T34" i="34"/>
  <c r="B5" i="43"/>
  <c r="B4" i="43"/>
  <c r="AA7" i="22"/>
  <c r="AC8" i="22" l="1"/>
  <c r="AC11" i="22"/>
  <c r="AC10" i="22"/>
  <c r="AC14" i="22"/>
  <c r="AC12" i="22"/>
  <c r="AC7" i="22"/>
  <c r="AC13" i="22"/>
  <c r="AC9" i="22"/>
  <c r="T35" i="34" l="1"/>
  <c r="H5" i="22"/>
  <c r="AB20" i="21" l="1"/>
  <c r="AB13" i="21"/>
  <c r="AB8" i="21"/>
  <c r="B15" i="43" l="1"/>
  <c r="B15" i="22"/>
  <c r="B10" i="22"/>
  <c r="B10" i="43"/>
  <c r="B22" i="22"/>
  <c r="B22" i="43"/>
  <c r="T71" i="34"/>
  <c r="T47" i="34"/>
  <c r="T51" i="34"/>
  <c r="T41" i="34"/>
  <c r="T46" i="34"/>
  <c r="T66" i="34"/>
  <c r="T73" i="34"/>
  <c r="T77" i="34"/>
  <c r="T58" i="34"/>
  <c r="T37" i="34"/>
  <c r="T52" i="34"/>
  <c r="AB17" i="21"/>
  <c r="T27" i="34"/>
  <c r="T45" i="34"/>
  <c r="T61" i="34"/>
  <c r="T49" i="34"/>
  <c r="AB6" i="21"/>
  <c r="AB4" i="21"/>
  <c r="AB25" i="21"/>
  <c r="AB18" i="21"/>
  <c r="T76" i="34"/>
  <c r="T38" i="34"/>
  <c r="T21" i="34"/>
  <c r="T24" i="34"/>
  <c r="T18" i="34"/>
  <c r="T31" i="34"/>
  <c r="AB10" i="21"/>
  <c r="AB23" i="21"/>
  <c r="T42" i="34"/>
  <c r="T30" i="34"/>
  <c r="T54" i="34"/>
  <c r="T60" i="34"/>
  <c r="AB12" i="21"/>
  <c r="AB22" i="21"/>
  <c r="T19" i="34"/>
  <c r="T57" i="34"/>
  <c r="T69" i="34"/>
  <c r="T68" i="34"/>
  <c r="AB7" i="21"/>
  <c r="T36" i="34"/>
  <c r="T22" i="34"/>
  <c r="T65" i="34"/>
  <c r="T50" i="34"/>
  <c r="T16" i="34"/>
  <c r="T67" i="34"/>
  <c r="T64" i="34"/>
  <c r="T23" i="34"/>
  <c r="T39" i="34"/>
  <c r="T74" i="34"/>
  <c r="AB15" i="21"/>
  <c r="AB9" i="21"/>
  <c r="AB11" i="21"/>
  <c r="AB24" i="21"/>
  <c r="AB19" i="21"/>
  <c r="T72" i="34"/>
  <c r="T44" i="34"/>
  <c r="T62" i="34"/>
  <c r="T75" i="34"/>
  <c r="T55" i="34"/>
  <c r="AB14" i="21"/>
  <c r="AB5" i="21"/>
  <c r="AB16" i="21"/>
  <c r="T56" i="34"/>
  <c r="T53" i="34"/>
  <c r="T48" i="34"/>
  <c r="T43" i="34"/>
  <c r="T26" i="34"/>
  <c r="T63" i="34"/>
  <c r="T25" i="34"/>
  <c r="T40" i="34"/>
  <c r="T32" i="34"/>
  <c r="AB21" i="21"/>
  <c r="T70" i="34"/>
  <c r="T59" i="34"/>
  <c r="C5" i="22" l="1"/>
  <c r="D5" i="22" s="1"/>
  <c r="C5" i="43"/>
  <c r="D5" i="43" s="1"/>
  <c r="C4" i="22"/>
  <c r="D4" i="22" s="1"/>
  <c r="C4" i="43"/>
  <c r="D4" i="43" s="1"/>
  <c r="C10" i="43"/>
  <c r="D10" i="43" s="1"/>
  <c r="C10" i="22"/>
  <c r="D10" i="22" s="1"/>
  <c r="C22" i="43"/>
  <c r="D22" i="43" s="1"/>
  <c r="C15" i="22"/>
  <c r="D15" i="22" s="1"/>
  <c r="C22" i="22"/>
  <c r="D22" i="22" s="1"/>
  <c r="C15" i="43"/>
  <c r="D15" i="43" s="1"/>
  <c r="B9" i="43"/>
  <c r="C9" i="43" s="1"/>
  <c r="D9" i="43" s="1"/>
  <c r="B9" i="22"/>
  <c r="C9" i="22" s="1"/>
  <c r="D9" i="22" s="1"/>
  <c r="B6" i="22"/>
  <c r="B16" i="43"/>
  <c r="C16" i="43" s="1"/>
  <c r="D16" i="43" s="1"/>
  <c r="B16" i="22"/>
  <c r="C16" i="22" s="1"/>
  <c r="D16" i="22" s="1"/>
  <c r="B26" i="22"/>
  <c r="C26" i="22" s="1"/>
  <c r="D26" i="22" s="1"/>
  <c r="B26" i="43"/>
  <c r="C26" i="43" s="1"/>
  <c r="D26" i="43" s="1"/>
  <c r="B13" i="43"/>
  <c r="C13" i="43" s="1"/>
  <c r="D13" i="43" s="1"/>
  <c r="B13" i="22"/>
  <c r="C13" i="22" s="1"/>
  <c r="D13" i="22" s="1"/>
  <c r="B17" i="43"/>
  <c r="C17" i="43" s="1"/>
  <c r="D17" i="43" s="1"/>
  <c r="B17" i="22"/>
  <c r="C17" i="22" s="1"/>
  <c r="D17" i="22" s="1"/>
  <c r="B23" i="43"/>
  <c r="C23" i="43" s="1"/>
  <c r="D23" i="43" s="1"/>
  <c r="B23" i="22"/>
  <c r="C23" i="22" s="1"/>
  <c r="D23" i="22" s="1"/>
  <c r="B12" i="43"/>
  <c r="C12" i="43" s="1"/>
  <c r="D12" i="43" s="1"/>
  <c r="B12" i="22"/>
  <c r="C12" i="22" s="1"/>
  <c r="D12" i="22" s="1"/>
  <c r="B11" i="43"/>
  <c r="C11" i="43" s="1"/>
  <c r="D11" i="43" s="1"/>
  <c r="B11" i="22"/>
  <c r="C11" i="22" s="1"/>
  <c r="D11" i="22" s="1"/>
  <c r="B18" i="22"/>
  <c r="C18" i="22" s="1"/>
  <c r="D18" i="22" s="1"/>
  <c r="B18" i="43"/>
  <c r="C18" i="43" s="1"/>
  <c r="D18" i="43" s="1"/>
  <c r="B24" i="22"/>
  <c r="C24" i="22" s="1"/>
  <c r="D24" i="22" s="1"/>
  <c r="B24" i="43"/>
  <c r="C24" i="43" s="1"/>
  <c r="D24" i="43" s="1"/>
  <c r="B25" i="43"/>
  <c r="C25" i="43" s="1"/>
  <c r="D25" i="43" s="1"/>
  <c r="B25" i="22"/>
  <c r="C25" i="22" s="1"/>
  <c r="D25" i="22" s="1"/>
  <c r="B8" i="22"/>
  <c r="C8" i="22" s="1"/>
  <c r="D8" i="22" s="1"/>
  <c r="B8" i="43"/>
  <c r="C8" i="43" s="1"/>
  <c r="D8" i="43" s="1"/>
  <c r="B28" i="43"/>
  <c r="C28" i="43" s="1"/>
  <c r="D28" i="43" s="1"/>
  <c r="B28" i="22"/>
  <c r="C28" i="22" s="1"/>
  <c r="D28" i="22" s="1"/>
  <c r="B20" i="43"/>
  <c r="C20" i="43" s="1"/>
  <c r="D20" i="43" s="1"/>
  <c r="B20" i="22"/>
  <c r="C20" i="22" s="1"/>
  <c r="D20" i="22" s="1"/>
  <c r="B27" i="43"/>
  <c r="C27" i="43" s="1"/>
  <c r="D27" i="43" s="1"/>
  <c r="B27" i="22"/>
  <c r="C27" i="22" s="1"/>
  <c r="D27" i="22" s="1"/>
  <c r="B14" i="22"/>
  <c r="C14" i="22" s="1"/>
  <c r="D14" i="22" s="1"/>
  <c r="B14" i="43"/>
  <c r="C14" i="43" s="1"/>
  <c r="D14" i="43" s="1"/>
  <c r="B19" i="22"/>
  <c r="C19" i="22" s="1"/>
  <c r="D19" i="22" s="1"/>
  <c r="B19" i="43"/>
  <c r="C19" i="43" s="1"/>
  <c r="D19" i="43" s="1"/>
  <c r="B21" i="22"/>
  <c r="C21" i="22" s="1"/>
  <c r="D21" i="22" s="1"/>
  <c r="B21" i="43"/>
  <c r="C21" i="43" s="1"/>
  <c r="D21" i="43" s="1"/>
  <c r="B6" i="43"/>
  <c r="C6" i="43" s="1"/>
  <c r="D6" i="43" s="1"/>
  <c r="AB7" i="22"/>
  <c r="AB17" i="22"/>
  <c r="AB25" i="22"/>
  <c r="AB18" i="22"/>
  <c r="B7" i="22"/>
  <c r="C7" i="22" s="1"/>
  <c r="D7" i="22" s="1"/>
  <c r="AB13" i="22"/>
  <c r="AB15" i="22"/>
  <c r="AB12" i="22"/>
  <c r="AB11" i="22"/>
  <c r="AB10" i="22"/>
  <c r="AB20" i="22"/>
  <c r="AB16" i="22"/>
  <c r="AB19" i="22"/>
  <c r="AB8" i="22"/>
  <c r="AB14" i="22"/>
  <c r="AB9" i="22"/>
  <c r="AB21" i="22"/>
  <c r="AB23" i="22"/>
  <c r="AB22" i="22"/>
  <c r="AB24" i="22"/>
  <c r="B7" i="43"/>
  <c r="C7" i="43" s="1"/>
  <c r="D7" i="43" s="1"/>
  <c r="C6" i="22" l="1"/>
  <c r="D6" i="22" s="1"/>
  <c r="AD17" i="22"/>
  <c r="AI17" i="22" s="1"/>
  <c r="AD12" i="22"/>
  <c r="AD19" i="22"/>
  <c r="AI19" i="22" s="1"/>
  <c r="AD22" i="22"/>
  <c r="AJ22" i="22" s="1"/>
  <c r="AD6" i="22"/>
  <c r="AD13" i="22"/>
  <c r="AI13" i="22" s="1"/>
  <c r="AD24" i="22"/>
  <c r="AJ24" i="22" s="1"/>
  <c r="AD8" i="22"/>
  <c r="AH8" i="22" s="1"/>
  <c r="AD15" i="22"/>
  <c r="AI15" i="22" s="1"/>
  <c r="AD18" i="22"/>
  <c r="AI18" i="22" s="1"/>
  <c r="AD25" i="22"/>
  <c r="AJ25" i="22" s="1"/>
  <c r="AD9" i="22"/>
  <c r="AH9" i="22" s="1"/>
  <c r="AD20" i="22"/>
  <c r="AJ20" i="22" s="1"/>
  <c r="AD4" i="22"/>
  <c r="AD11" i="22"/>
  <c r="AD14" i="22"/>
  <c r="AI14" i="22" s="1"/>
  <c r="AD21" i="22"/>
  <c r="AJ21" i="22" s="1"/>
  <c r="AD5" i="22"/>
  <c r="AD16" i="22"/>
  <c r="AI16" i="22" s="1"/>
  <c r="AD23" i="22"/>
  <c r="AJ23" i="22" s="1"/>
  <c r="AD7" i="22"/>
  <c r="AH7" i="22" s="1"/>
  <c r="AD10" i="22"/>
  <c r="AH10" i="22" s="1"/>
  <c r="AI12" i="22" l="1"/>
  <c r="AI11" i="22"/>
  <c r="Q4" i="21" l="1"/>
  <c r="Q3" i="21"/>
  <c r="Q2" i="21"/>
  <c r="AA5" i="22" l="1"/>
  <c r="AA4" i="22"/>
  <c r="AB4" i="22"/>
  <c r="AA6" i="22"/>
  <c r="AC5" i="22" l="1"/>
  <c r="F6" i="22" s="1"/>
  <c r="G6" i="22" s="1"/>
  <c r="AC6" i="22"/>
  <c r="F7" i="22" s="1"/>
  <c r="F14" i="22"/>
  <c r="G14" i="22" s="1"/>
  <c r="F13" i="22"/>
  <c r="G13" i="22" s="1"/>
  <c r="F8" i="22"/>
  <c r="F16" i="22"/>
  <c r="G16" i="22" s="1"/>
  <c r="AF14" i="22"/>
  <c r="F18" i="22"/>
  <c r="G18" i="22" s="1"/>
  <c r="AF16" i="22"/>
  <c r="F20" i="22"/>
  <c r="G20" i="22" s="1"/>
  <c r="AF18" i="22"/>
  <c r="F19" i="22"/>
  <c r="G19" i="22" s="1"/>
  <c r="AF17" i="22"/>
  <c r="F17" i="22"/>
  <c r="G17" i="22" s="1"/>
  <c r="AF15" i="22"/>
  <c r="F15" i="22"/>
  <c r="G15" i="22" s="1"/>
  <c r="AF13" i="22"/>
  <c r="F10" i="22"/>
  <c r="AE9" i="22"/>
  <c r="F11" i="22"/>
  <c r="G11" i="22" s="1"/>
  <c r="AE10" i="22"/>
  <c r="AB5" i="22"/>
  <c r="AF12" i="22"/>
  <c r="AF11" i="22"/>
  <c r="AH4" i="22"/>
  <c r="AE7" i="22"/>
  <c r="AB6" i="22"/>
  <c r="AE5" i="22" l="1"/>
  <c r="AH5" i="22"/>
  <c r="G7" i="22"/>
  <c r="AH6" i="22"/>
  <c r="AE6" i="22"/>
  <c r="G8" i="22" l="1"/>
  <c r="AG25" i="22" l="1"/>
  <c r="F28" i="22" l="1"/>
  <c r="G28" i="22" l="1"/>
  <c r="AG24" i="22" l="1"/>
  <c r="AF19" i="22"/>
  <c r="AG20" i="22"/>
  <c r="F23" i="22" l="1"/>
  <c r="F27" i="22"/>
  <c r="G27" i="22" s="1"/>
  <c r="F21" i="22"/>
  <c r="AG21" i="22"/>
  <c r="AG23" i="22" l="1"/>
  <c r="G23" i="22"/>
  <c r="AG22" i="22" l="1"/>
  <c r="F24" i="22"/>
  <c r="G24" i="22" s="1"/>
  <c r="F26" i="22"/>
  <c r="G26" i="22" s="1"/>
  <c r="F25" i="22"/>
  <c r="G25" i="22" s="1"/>
  <c r="G21" i="22"/>
  <c r="AR6" i="22" l="1"/>
  <c r="F22" i="22" s="1"/>
  <c r="AR5" i="22"/>
  <c r="F12" i="22" s="1"/>
  <c r="AE8" i="22"/>
  <c r="G10" i="22" l="1"/>
  <c r="F9" i="22"/>
  <c r="G9" i="22" s="1"/>
  <c r="P8" i="56" l="1"/>
  <c r="Q8" i="56" s="1"/>
  <c r="R2" i="21"/>
  <c r="AC4" i="22" l="1"/>
  <c r="N8" i="56"/>
  <c r="O8" i="56" s="1"/>
  <c r="G8" i="56" s="1"/>
  <c r="R8" i="56"/>
  <c r="S2" i="21"/>
  <c r="AE4" i="22" l="1"/>
  <c r="F5" i="22"/>
  <c r="G5" i="22" s="1"/>
  <c r="AR4" i="22" s="1"/>
  <c r="F4" i="22" l="1"/>
</calcChain>
</file>

<file path=xl/sharedStrings.xml><?xml version="1.0" encoding="utf-8"?>
<sst xmlns="http://schemas.openxmlformats.org/spreadsheetml/2006/main" count="393" uniqueCount="244">
  <si>
    <t>Comments</t>
  </si>
  <si>
    <t>Don't know</t>
  </si>
  <si>
    <t>Not yet answered</t>
  </si>
  <si>
    <t>Introduction</t>
  </si>
  <si>
    <t>Acknowledgements</t>
  </si>
  <si>
    <t>Warning</t>
  </si>
  <si>
    <t>This Guide has been produced with care and to the best of our ability. However, CREST accepts no responsibility for any problems or incidents arising from its use.</t>
  </si>
  <si>
    <t>Guidelines</t>
  </si>
  <si>
    <t>Weighting</t>
  </si>
  <si>
    <t>x 1</t>
  </si>
  <si>
    <t>x 2</t>
  </si>
  <si>
    <t>x 3</t>
  </si>
  <si>
    <t>Target maturity (1 to 5)</t>
  </si>
  <si>
    <t>target</t>
  </si>
  <si>
    <t>CSIR</t>
  </si>
  <si>
    <t>Agriculture, Forestry, Fishing and Hunting</t>
  </si>
  <si>
    <t>Mining, Quarrying, and Oil and Gas Extraction</t>
  </si>
  <si>
    <t>Utilities</t>
  </si>
  <si>
    <t>Construction</t>
  </si>
  <si>
    <t>Manufacturing</t>
  </si>
  <si>
    <t>Wholesale Trade</t>
  </si>
  <si>
    <t>Retail Trade</t>
  </si>
  <si>
    <t>Transportation and Warehousing</t>
  </si>
  <si>
    <t>Information</t>
  </si>
  <si>
    <t>Insurance</t>
  </si>
  <si>
    <t>Real Estate and Rental and Leasing</t>
  </si>
  <si>
    <t>Professional, Scientific, and Technical Services</t>
  </si>
  <si>
    <t>Management of Companies and Enterprises</t>
  </si>
  <si>
    <t>Administrative and Support and Waste Management and Remediation Services</t>
  </si>
  <si>
    <t>Educational Services</t>
  </si>
  <si>
    <t>Health Care and Social Assistance</t>
  </si>
  <si>
    <t>Arts, Entertainment, and Recreation</t>
  </si>
  <si>
    <t>Accommodation and Food Services</t>
  </si>
  <si>
    <t>Other Services (except Public Administration)</t>
  </si>
  <si>
    <t>Public Administration</t>
  </si>
  <si>
    <t>Not selected</t>
  </si>
  <si>
    <t>Level 1</t>
  </si>
  <si>
    <t>Level 2</t>
  </si>
  <si>
    <t>Level 3</t>
  </si>
  <si>
    <t>Level 4</t>
  </si>
  <si>
    <t>Level 5</t>
  </si>
  <si>
    <t>Merchant banking</t>
  </si>
  <si>
    <t>Retail banking</t>
  </si>
  <si>
    <t>Investment banking</t>
  </si>
  <si>
    <t>Card services</t>
  </si>
  <si>
    <t>Other banking services</t>
  </si>
  <si>
    <t>Other financial services</t>
  </si>
  <si>
    <t>Response</t>
  </si>
  <si>
    <t>Evidence supplied</t>
  </si>
  <si>
    <t>Level 1 (%)</t>
  </si>
  <si>
    <t>Level 2 (%)</t>
  </si>
  <si>
    <t>Level 3 (%)</t>
  </si>
  <si>
    <t>Level 4 (%)</t>
  </si>
  <si>
    <t>Level 5 (%)</t>
  </si>
  <si>
    <t>9-30</t>
  </si>
  <si>
    <t>31-70</t>
  </si>
  <si>
    <t>71-92</t>
  </si>
  <si>
    <t>93-100</t>
  </si>
  <si>
    <t>Business unit (or equivalent) *</t>
  </si>
  <si>
    <t>Sector *</t>
  </si>
  <si>
    <t>Date of assessment *</t>
  </si>
  <si>
    <t>Role or position *</t>
  </si>
  <si>
    <t>Level</t>
  </si>
  <si>
    <t>Step</t>
  </si>
  <si>
    <t>Q</t>
  </si>
  <si>
    <t>subQ</t>
  </si>
  <si>
    <t>Text</t>
  </si>
  <si>
    <t>Order</t>
  </si>
  <si>
    <t>Phase</t>
  </si>
  <si>
    <t>Sub-heading</t>
  </si>
  <si>
    <t>Stub</t>
  </si>
  <si>
    <t>Type</t>
  </si>
  <si>
    <t>FullQ</t>
  </si>
  <si>
    <t>x 4</t>
  </si>
  <si>
    <t>x 5</t>
  </si>
  <si>
    <t>Overview</t>
  </si>
  <si>
    <t>Maturity model</t>
  </si>
  <si>
    <t>How to use the tool</t>
  </si>
  <si>
    <t>Weighting configuration</t>
  </si>
  <si>
    <t>Important</t>
  </si>
  <si>
    <t>Critical</t>
  </si>
  <si>
    <t>Custom</t>
  </si>
  <si>
    <t>Credits</t>
  </si>
  <si>
    <t xml:space="preserve">This tool has been developed for CREST by </t>
  </si>
  <si>
    <t>Penetration testing process</t>
  </si>
  <si>
    <r>
      <t xml:space="preserve">Instructions on how the tool works and how it can be used can be found on the </t>
    </r>
    <r>
      <rPr>
        <i/>
        <sz val="11"/>
        <color theme="1"/>
        <rFont val="Calibri"/>
        <family val="2"/>
        <scheme val="minor"/>
      </rPr>
      <t>Guidelines</t>
    </r>
    <r>
      <rPr>
        <sz val="11"/>
        <color theme="1"/>
        <rFont val="Calibri"/>
        <family val="2"/>
        <scheme val="minor"/>
      </rPr>
      <t xml:space="preserve"> worksheet.</t>
    </r>
  </si>
  <si>
    <t>CREST would like to extend its special thanks to those CREST member organisations and third parties who took part in interviews, participated in the workshop and completed questionnaires.</t>
  </si>
  <si>
    <t>© CREST 2016</t>
  </si>
  <si>
    <t xml:space="preserve">Consequently, the level of maturity your organisation has in penetration testing should be reviewed in context and compared to your actual requirements for such a capability. The maturity of your organisation can then be compared with other similar organisation to help determine if the level of maturity is appropriate. </t>
  </si>
  <si>
    <t>A weighting factor can be set to give the results for particular steps more importance than others. The selected levels of maturity are then displayed graphically for each of the three phases and overall. Calculations are based on a carefully designed algorithm that takes account of both the level of maturity selected for each step and the step's given weighting.</t>
  </si>
  <si>
    <t>A</t>
  </si>
  <si>
    <t>B</t>
  </si>
  <si>
    <t>C</t>
  </si>
  <si>
    <t>Establish a management assurance framework</t>
  </si>
  <si>
    <t>Stage</t>
  </si>
  <si>
    <t>Choose a set of targets by clicking on the radio buttons below.</t>
  </si>
  <si>
    <t>Standard</t>
  </si>
  <si>
    <t>0-7</t>
  </si>
  <si>
    <r>
      <rPr>
        <b/>
        <i/>
        <sz val="11"/>
        <color theme="1"/>
        <rFont val="Calibri"/>
        <family val="2"/>
        <scheme val="minor"/>
      </rPr>
      <t>Step 1</t>
    </r>
    <r>
      <rPr>
        <sz val="11"/>
        <color theme="1"/>
        <rFont val="Calibri"/>
        <family val="2"/>
        <scheme val="minor"/>
      </rPr>
      <t xml:space="preserve"> - Complete the details for the environment being assessed in the </t>
    </r>
    <r>
      <rPr>
        <i/>
        <sz val="11"/>
        <color theme="1"/>
        <rFont val="Calibri"/>
        <family val="2"/>
        <scheme val="minor"/>
      </rPr>
      <t>Profile and Scope</t>
    </r>
    <r>
      <rPr>
        <sz val="11"/>
        <color theme="1"/>
        <rFont val="Calibri"/>
        <family val="2"/>
        <scheme val="minor"/>
      </rPr>
      <t xml:space="preserve"> worksheet using the text boxes and drop-down lists provided. The name entered for </t>
    </r>
    <r>
      <rPr>
        <i/>
        <sz val="11"/>
        <color theme="1"/>
        <rFont val="Calibri"/>
        <family val="2"/>
        <scheme val="minor"/>
      </rPr>
      <t xml:space="preserve">Target of Assessment </t>
    </r>
    <r>
      <rPr>
        <sz val="11"/>
        <color theme="1"/>
        <rFont val="Calibri"/>
        <family val="2"/>
        <scheme val="minor"/>
      </rPr>
      <t xml:space="preserve">will automatically appear on the </t>
    </r>
    <r>
      <rPr>
        <i/>
        <sz val="11"/>
        <color theme="1"/>
        <rFont val="Calibri"/>
        <family val="2"/>
        <scheme val="minor"/>
      </rPr>
      <t>Results</t>
    </r>
    <r>
      <rPr>
        <sz val="11"/>
        <color theme="1"/>
        <rFont val="Calibri"/>
        <family val="2"/>
        <scheme val="minor"/>
      </rPr>
      <t xml:space="preserve"> worksheets.</t>
    </r>
  </si>
  <si>
    <t>Name of organisation *</t>
  </si>
  <si>
    <t>Name of internal penetration testing coordinator *</t>
  </si>
  <si>
    <t>A1</t>
  </si>
  <si>
    <t>A2</t>
  </si>
  <si>
    <t>A3</t>
  </si>
  <si>
    <t>A4</t>
  </si>
  <si>
    <t>A5</t>
  </si>
  <si>
    <t>A6</t>
  </si>
  <si>
    <t>A7</t>
  </si>
  <si>
    <t>A8</t>
  </si>
  <si>
    <t>Size of business *</t>
  </si>
  <si>
    <t>Very large</t>
  </si>
  <si>
    <t>Large</t>
  </si>
  <si>
    <t>Medium or small</t>
  </si>
  <si>
    <t>Very small</t>
  </si>
  <si>
    <t>High risk significant impact business</t>
  </si>
  <si>
    <t>Higher risk business</t>
  </si>
  <si>
    <t>Medium risk business</t>
  </si>
  <si>
    <t>Low risk business</t>
  </si>
  <si>
    <t>Very low risk business</t>
  </si>
  <si>
    <t>Type of business *</t>
  </si>
  <si>
    <t>Benchmark</t>
  </si>
  <si>
    <t>Penetration Testing Management
Maturity Assessment Tool</t>
  </si>
  <si>
    <t>*</t>
  </si>
  <si>
    <t>Have you identified target environments that need to be subject to penetration testing, such as critical web applications and important IT infrastructure?</t>
  </si>
  <si>
    <t>Do you define formal requirements for penetration testing carried out in your organisation?</t>
  </si>
  <si>
    <t>Do follow-up activities include analysing and addressing the root causes of weaknesses identified in penetration testing?</t>
  </si>
  <si>
    <t>Evaluation of the effectiveness of penetration testing should include: determining if objectives were met; assessing if sufficient weaknesses were identified; reviewing exploitations undertaken; comparing test results to external benchmarks; and determining if value for money was obtained from your service provider.</t>
  </si>
  <si>
    <t>Extra Step text</t>
  </si>
  <si>
    <t>Define the purpose of the penetration tests</t>
  </si>
  <si>
    <t>Identify testing constraints</t>
  </si>
  <si>
    <t>Use an effective testing methodology</t>
  </si>
  <si>
    <t>Address root causes of weaknesses</t>
  </si>
  <si>
    <t>response index</t>
  </si>
  <si>
    <t>Target</t>
  </si>
  <si>
    <t xml:space="preserve"> </t>
  </si>
  <si>
    <t>Benchmark Rating</t>
  </si>
  <si>
    <t>Introductory</t>
  </si>
  <si>
    <r>
      <t xml:space="preserve">Organisation / business unit
</t>
    </r>
    <r>
      <rPr>
        <i/>
        <sz val="10"/>
        <rFont val="Calibri"/>
        <family val="2"/>
        <scheme val="minor"/>
      </rPr>
      <t>All fields marked * MUST be completed</t>
    </r>
  </si>
  <si>
    <r>
      <rPr>
        <b/>
        <i/>
        <sz val="11"/>
        <color theme="1"/>
        <rFont val="Calibri"/>
        <family val="2"/>
        <scheme val="minor"/>
      </rPr>
      <t>Step 2</t>
    </r>
    <r>
      <rPr>
        <sz val="11"/>
        <color theme="1"/>
        <rFont val="Calibri"/>
        <family val="2"/>
        <scheme val="minor"/>
      </rPr>
      <t xml:space="preserve"> - On the </t>
    </r>
    <r>
      <rPr>
        <i/>
        <sz val="11"/>
        <color theme="1"/>
        <rFont val="Calibri"/>
        <family val="2"/>
        <scheme val="minor"/>
      </rPr>
      <t>Targets</t>
    </r>
    <r>
      <rPr>
        <sz val="11"/>
        <color theme="1"/>
        <rFont val="Calibri"/>
        <family val="2"/>
        <scheme val="minor"/>
      </rPr>
      <t xml:space="preserve"> Worksheet, select the target level required for this assessment by pressing the radar button next to any of the six options available, which are:
  </t>
    </r>
    <r>
      <rPr>
        <b/>
        <i/>
        <sz val="11"/>
        <color theme="1"/>
        <rFont val="Calibri"/>
        <family val="2"/>
        <scheme val="minor"/>
      </rPr>
      <t>Introductory</t>
    </r>
    <r>
      <rPr>
        <sz val="11"/>
        <color theme="1"/>
        <rFont val="Calibri"/>
        <family val="2"/>
        <scheme val="minor"/>
      </rPr>
      <t xml:space="preserve"> - which sets a target of 2 out of 5 across the board
  </t>
    </r>
    <r>
      <rPr>
        <b/>
        <i/>
        <sz val="11"/>
        <color theme="1"/>
        <rFont val="Calibri"/>
        <family val="2"/>
        <scheme val="minor"/>
      </rPr>
      <t>Standard</t>
    </r>
    <r>
      <rPr>
        <sz val="11"/>
        <color theme="1"/>
        <rFont val="Calibri"/>
        <family val="2"/>
        <scheme val="minor"/>
      </rPr>
      <t xml:space="preserve"> - which sets a target of 2 out of 5 across the board
  </t>
    </r>
    <r>
      <rPr>
        <b/>
        <i/>
        <sz val="11"/>
        <color theme="1"/>
        <rFont val="Calibri"/>
        <family val="2"/>
        <scheme val="minor"/>
      </rPr>
      <t>Important</t>
    </r>
    <r>
      <rPr>
        <sz val="11"/>
        <color theme="1"/>
        <rFont val="Calibri"/>
        <family val="2"/>
        <scheme val="minor"/>
      </rPr>
      <t xml:space="preserve"> - which sets a target of 3 out of 5 across the board
  </t>
    </r>
    <r>
      <rPr>
        <b/>
        <i/>
        <sz val="11"/>
        <color theme="1"/>
        <rFont val="Calibri"/>
        <family val="2"/>
        <scheme val="minor"/>
      </rPr>
      <t>Very important</t>
    </r>
    <r>
      <rPr>
        <sz val="11"/>
        <color theme="1"/>
        <rFont val="Calibri"/>
        <family val="2"/>
        <scheme val="minor"/>
      </rPr>
      <t xml:space="preserve"> - which sets a target of 4 out of 5 across the board
  </t>
    </r>
    <r>
      <rPr>
        <b/>
        <i/>
        <sz val="11"/>
        <color theme="1"/>
        <rFont val="Calibri"/>
        <family val="2"/>
        <scheme val="minor"/>
      </rPr>
      <t>Critical</t>
    </r>
    <r>
      <rPr>
        <sz val="11"/>
        <color theme="1"/>
        <rFont val="Calibri"/>
        <family val="2"/>
        <scheme val="minor"/>
      </rPr>
      <t xml:space="preserve"> - which sets a target of 5 out of 5 across the board
  </t>
    </r>
    <r>
      <rPr>
        <b/>
        <i/>
        <sz val="11"/>
        <color theme="1"/>
        <rFont val="Calibri"/>
        <family val="2"/>
        <scheme val="minor"/>
      </rPr>
      <t>Custom</t>
    </r>
    <r>
      <rPr>
        <sz val="11"/>
        <color theme="1"/>
        <rFont val="Calibri"/>
        <family val="2"/>
        <scheme val="minor"/>
      </rPr>
      <t xml:space="preserve"> - which allows you to overwrite any of the individual settings in the </t>
    </r>
    <r>
      <rPr>
        <i/>
        <sz val="11"/>
        <color theme="1"/>
        <rFont val="Calibri"/>
        <family val="2"/>
        <scheme val="minor"/>
      </rPr>
      <t>Custom</t>
    </r>
    <r>
      <rPr>
        <sz val="11"/>
        <color theme="1"/>
        <rFont val="Calibri"/>
        <family val="2"/>
        <scheme val="minor"/>
      </rPr>
      <t xml:space="preserve"> column on the far right.
These target ratings will show up in all the </t>
    </r>
    <r>
      <rPr>
        <i/>
        <sz val="11"/>
        <color theme="1"/>
        <rFont val="Calibri"/>
        <family val="2"/>
        <scheme val="minor"/>
      </rPr>
      <t>Results</t>
    </r>
    <r>
      <rPr>
        <sz val="11"/>
        <color theme="1"/>
        <rFont val="Calibri"/>
        <family val="2"/>
        <scheme val="minor"/>
      </rPr>
      <t xml:space="preserve"> worksheets allowing you to compare actual performance against targets.</t>
    </r>
  </si>
  <si>
    <t>Very important</t>
  </si>
  <si>
    <t>Maturity score</t>
  </si>
  <si>
    <t>Preparation</t>
  </si>
  <si>
    <t>Maintain a technical security assurance framework</t>
  </si>
  <si>
    <t>Establish a penetration testing governance structure</t>
  </si>
  <si>
    <t>Have you established a suitable governance structure to oversee and coordinate a regular penetration testing programme?</t>
  </si>
  <si>
    <t>Evaluate drivers for conducting penetration tests</t>
  </si>
  <si>
    <t>Identify target environments</t>
  </si>
  <si>
    <t>Produce requirements specifications</t>
  </si>
  <si>
    <t>Testing</t>
  </si>
  <si>
    <t>Agree testing style and type</t>
  </si>
  <si>
    <t>Produce scope statements</t>
  </si>
  <si>
    <t>When conducting penetration tests do you use a systematic, structured testing methodology?</t>
  </si>
  <si>
    <t>Conduct sufficient research and planning</t>
  </si>
  <si>
    <t>Identify and exploit vulnerabilities</t>
  </si>
  <si>
    <t>Report key findings</t>
  </si>
  <si>
    <t>Follow up</t>
  </si>
  <si>
    <t>An effective remediation process should include addressing all issues; applying immediate or short terms solutions (e.g. patching systems, closing ports and preventing traffic from particular web sites or IP addresses), replicating results of penetration tests, determining which weaknesses to address first (e.g. based on risk ratings for critical assets), and reporting weaknesses to relevant third party organisations.</t>
  </si>
  <si>
    <t>Target level configuration</t>
  </si>
  <si>
    <t>Maturity level (1 to 5)</t>
  </si>
  <si>
    <t>level</t>
  </si>
  <si>
    <t>Foundation</t>
  </si>
  <si>
    <t>Emerging</t>
  </si>
  <si>
    <t>Established</t>
  </si>
  <si>
    <t>Dynamic</t>
  </si>
  <si>
    <t>Optimised</t>
  </si>
  <si>
    <t>Do you maintain an approved technical security assurance framework, which is focused on protecting your most critical information and systems?</t>
  </si>
  <si>
    <t>An effective governance structure for penetration testing would typically cover all main systems enterprise-wide (while focusing on the most critical), through a penetration testing programme that includes penetration testing processes and methodologies, supplier selection criteria, and a penetration testing assurance management framework; supported by a joint management and technical team to agree the programme and scope of regular penetration testing, an effective change management process and a set of key performance indicators for the results of the penetration tests.</t>
  </si>
  <si>
    <t>Have you identified drivers for carrying out penetration tests as part of a technical assurance programme, based on an evaluation of relevant criteria, such as the impact of serious incidents, increased threat levels or significant changes to business or IT processes?</t>
  </si>
  <si>
    <t>Drivers for carrying out penetration tests should: be placed within a wider context of security assessment and strategy to contextualise the findings and recommendations; focus on ensuring that major system vulnerabilities are identified and addressed; and help to reduce the risk of discovering that the same problems still exist the next time a penetration test is carried out.</t>
  </si>
  <si>
    <t>Identification of target environments that need to be subject to penetration testing should take account of a wide range of factors including compliance requirements, system criticality and significant changes to critical business processes, as well as being built into relevant stages of systems under development.</t>
  </si>
  <si>
    <t>Do you define the purpose of penetration tests, evaluating the potential benefits to your organisation?</t>
  </si>
  <si>
    <t>Identifying the purpose of penetration tests should include assessing whether these tests can help your organisation to meet requirements (e.g. identify weaknesses in your security controls; reduce the frequency and impact of security incidents; comply with legal and regulatory requirements); and realise potential benefits (e.g. IT cost reductions; technical and business improvements; greater awareness of security risks and controls) – whilst taking account of any testing limitations or difficulties.</t>
  </si>
  <si>
    <t>Requirements for penetration testing should include consideration of important business applications, key IT infrastructure and confidential data; validation that tests are legal and will not compromise confidential data; and the need for tests to be recorded, reviewed and signed-off.</t>
  </si>
  <si>
    <t>Do you appoint suitable third party suppliers to undertake independent penetration testing (based on defined requirements, benefit evaluation, specified supplier selection criteria and validation of the supplier’s ability to meet your specific requirements)?</t>
  </si>
  <si>
    <t>Effective supplier selection criteria should be used to determine if potential suppliers can satisfactorily meet your specific testing requirements, based on their ability to provide: solid reputation, history and ethics; high quality, value-for-money services; research and development capability; highly competent, technical testers; and security and risk management, supported by a strong professional accreditation and complaint process.</t>
  </si>
  <si>
    <t>Do you determine what style of penetration testing is required (e.g. black, grey or white box testing; internal or external testing) and what type of testing is to be performed?</t>
  </si>
  <si>
    <t>Do you identify any testing constraints associated with planned penetration testing?</t>
  </si>
  <si>
    <t>Testing constraints can include: aspects of the business that cannot be tested due to operational and technical limitations; legal, resourcing or time restrictions; and the likelihood that most penetration testing will not find all vulnerabilities of a given environment.</t>
  </si>
  <si>
    <t>Do you produce formal scope statements for penetration testing, supported by defined reporting requirements, prior to tests commencing?</t>
  </si>
  <si>
    <t>The scope of penetration tests should: be recorded in a formal document, such as a scope statement, that is signed-off by all relevant parties; include a definition of the target environment; specify resourcing requirements; define liabilities; include follow-up activities; and authorise testing to be conducted. Reporting requirements should specify the format and type of content, when the test report will be delivered, how the test report will be delivered (electronic and / or physical); and arrangements should be made to ensure that your service provider will meet your requirements in a satisfactory manner.</t>
  </si>
  <si>
    <t>Have you created a documented management assurance framework to help govern all aspects of the penetration test, ensuring that testing meets requirements and testing scope is documented in a comprehensive agreement, defined in a legally binding contact and signed off by all relevant parties before testing starts?</t>
  </si>
  <si>
    <t>Have you implemented effective risk, change and problem management processes that apply to all aspects of penetration testing?</t>
  </si>
  <si>
    <t>Methods of keeping risks to a minimum include: carrying out planning in advance; having a clear definition of scope; using predefined escalation procedures; supported by the use of individual testers with relevant experience and qualifications, working for certified organisations. An effective change management process should: cover changes to the scope of the penetration test, organisational controls and the individuals on the testing team; ensure that all parties involved adhere to the process and that changes to penetration testing are made quickly and efficiently. An effective problem management process should cover: tests not working as planned; problems caused as a result of the penetration testing; breaches of contract or codes of conduct; and effective, timely, problem resolution.</t>
  </si>
  <si>
    <t>A systematic, structured testing methodology should: be based on proven approaches designed by authoritative publicly available sources; detail specific evaluation or testing criteria; adhere to a standard common language and scope for performing penetration testing; and specify a required approach (or approaches) for carrying out all stages of a comprehensive end-to-end penetration test.</t>
  </si>
  <si>
    <t>Are detailed test plans produced to provide guidelines for the penetration testing to be undertaken, supported by research to imitate the research activities that a potential attacker could undertake to find out as much about the target environment and how it works as possible?</t>
  </si>
  <si>
    <t>Are findings identified during the penetration test reported to your organisation?</t>
  </si>
  <si>
    <t>Findings should be formally presented to your organisation by suppliers, who should provide details about: how testers found the vulnerabilities; what could be the outcome of each vulnerability; the level of risk to the business for each vulnerability; and advice on how to remediate each vulnerability.</t>
  </si>
  <si>
    <t>Do follow-up activities include remediating weaknesses found during the testing process, reducing the risk of them being exploited again?</t>
  </si>
  <si>
    <t>Root cause analysis should include: identifying the real root causes of exposures; evaluating potential business impact; identifying more endemic or fundamental root causes; involving qualified, experienced security professionals to help define corrective action strategy and plans.</t>
  </si>
  <si>
    <t>The improvement programme should be carried out in a structured / systematic manner: addressing root causes of weakness; evaluating penetration testing effectiveness; identifying lessons learned; applying good practice enterprise-wide; creating and monitoring action plans; and agreeing approaches for future testing.</t>
  </si>
  <si>
    <t>Is the effectiveness of your penetration tests evaluated?</t>
  </si>
  <si>
    <t>Does your penetration testing approach include identifying, recording, analysing and acting upon lessons learned, ensuring good practices are applied to other environments?</t>
  </si>
  <si>
    <t>Lessons learned before, during and after penetration tests have been conducted should be used to help in planning future tests and provide feedback to service providers to help them improve processes. Good practices identified as a result of penetration tests conducted for one environment should be applied to a wide range of other environments, and rolled out in a consistent and effective manner, fixing root causes endemically.</t>
  </si>
  <si>
    <t>Are action plans created to help act upon follow-up activities undertaken and used to provide input into the design and scope of future tests?</t>
  </si>
  <si>
    <t>Score</t>
  </si>
  <si>
    <r>
      <rPr>
        <i/>
        <sz val="11"/>
        <color theme="1"/>
        <rFont val="Calibri"/>
        <family val="2"/>
        <scheme val="minor"/>
      </rPr>
      <t>Note:</t>
    </r>
    <r>
      <rPr>
        <sz val="11"/>
        <color theme="1"/>
        <rFont val="Calibri"/>
        <family val="2"/>
        <scheme val="minor"/>
      </rPr>
      <t xml:space="preserve"> There two other </t>
    </r>
    <r>
      <rPr>
        <i/>
        <sz val="11"/>
        <color theme="1"/>
        <rFont val="Calibri"/>
        <family val="2"/>
        <scheme val="minor"/>
      </rPr>
      <t>Penetration Testing Maturity Assessment Tools</t>
    </r>
    <r>
      <rPr>
        <sz val="11"/>
        <color theme="1"/>
        <rFont val="Calibri"/>
        <family val="2"/>
        <scheme val="minor"/>
      </rPr>
      <t xml:space="preserve"> available, which are the:</t>
    </r>
  </si>
  <si>
    <t>• Requirements, testing and follow up</t>
  </si>
  <si>
    <t>Many organisations are extremely concerned about potential and actual cyber security attacks, both on their own organisations and in ones similar to them. Many of these attacks exploit weaknesses in an organisations applications and underlying infrastructure. To help identify these vulnerabilities effectively - and address them effectively - many organisations carry out penetration testing. However, establishing and managing a  penetration testing programme can be a very difficult task, even for the most advanced organisations. Each organisation should therefore develop an appropriate  penetration testing programme which will enable them to adopt a systematic, structured approach to undertaking  penetration testing.</t>
  </si>
  <si>
    <t>• People, programme, technology and information</t>
  </si>
  <si>
    <t>Penetration testing programme</t>
  </si>
  <si>
    <t>The assessment tool has been developed in conjunction with representatives from a broad range of organisations, including industry bodies, consumer organisations, the UK government and suppliers of expert technical security services. It provides you with an assessment against a maturity model that is based on the 15 steps within the 3 phase penetration testing management programme presented in the CREST Penetration Testing Management Guide, as shown in the diagram below.</t>
  </si>
  <si>
    <t xml:space="preserve">Your penetration testing programme should consist of appropriately skilled people guided by well-designed, repeatable programmes and effective use of relevant technologies that will enable you to conduct thorough penetration tests, successfully identifying and addressing vulnerabilities - and to prevent new ones from occurring. </t>
  </si>
  <si>
    <t>To carry out penetration testing effectively you will need to build an appropriate penetration testing programme the maturity of which can be assessed against an appropriate maturity model by using this assessment tool.</t>
  </si>
  <si>
    <t xml:space="preserve">Different types of organisation will require different levels of maturity for their penetration testing programme. For example, a small company operating in the retail business will not have the same requirement – or ability – to carry out  penetration tests in the same way as a major corporate organisation in the finance sector – or a government department. </t>
  </si>
  <si>
    <r>
      <rPr>
        <i/>
        <sz val="11"/>
        <color theme="1"/>
        <rFont val="Calibri"/>
        <family val="2"/>
        <scheme val="minor"/>
      </rPr>
      <t>Note:</t>
    </r>
    <r>
      <rPr>
        <sz val="11"/>
        <color theme="1"/>
        <rFont val="Calibri"/>
        <family val="2"/>
        <scheme val="minor"/>
      </rPr>
      <t xml:space="preserve"> The maturity of the  penetration testing programme can play a significant role in determining the level of third-party involvement required to conduct independent  penetration testing. Organisations with a mature penetration testing programme may manage most of their operations in-house, while those who are less mature may depend entirely on third parties.</t>
    </r>
  </si>
  <si>
    <t>• Intermediate assessment tool (no macros), which allows an assessment to be made to determine the level of maturity of your penetration testing programme in more depth.</t>
  </si>
  <si>
    <t>This assessment tool (which does not use macros) provides a mechanism for carrying out an assessment of the level of maturity an organisation has for their penetration testing programme at a high level. It can be used to assess the effectiveness of your penetration testing programme.</t>
  </si>
  <si>
    <t>Many organisations do not know how effective their penetration testing programme is in practice. One of the best ways to help determine the effectiveness of your programme is to measure the level of maturity of your penetration testing programme in terms of:</t>
  </si>
  <si>
    <t>The maturity model used in this tool is based on a traditional, proven model shown below. This model can be used to determine the level of maturity of your penetration testing programme, ranging from 1 (least effective) to 5 (most effective).</t>
  </si>
  <si>
    <t>This tool allows an assessment to be made to determine the level of maturity of an organisations’ penetration testing programme at a high level. It is based on a simple selection of the level of maturity for each of the 15 steps in the  three stages of the programme, aggregating results accordingly.</t>
  </si>
  <si>
    <r>
      <rPr>
        <b/>
        <i/>
        <sz val="11"/>
        <color theme="1"/>
        <rFont val="Calibri"/>
        <family val="2"/>
        <scheme val="minor"/>
      </rPr>
      <t>Note:</t>
    </r>
    <r>
      <rPr>
        <sz val="11"/>
        <color theme="1"/>
        <rFont val="Calibri"/>
        <family val="2"/>
        <scheme val="minor"/>
      </rPr>
      <t xml:space="preserve"> The penetration testing maturity assessment tool is one of a series of assessment tools developed by CREST, which include high level and detailed Cyber Security Incident Response Assessment Tools.</t>
    </r>
  </si>
  <si>
    <t>Implement management control processes</t>
  </si>
  <si>
    <r>
      <rPr>
        <b/>
        <i/>
        <sz val="11"/>
        <color theme="1"/>
        <rFont val="Calibri"/>
        <family val="2"/>
        <scheme val="minor"/>
      </rPr>
      <t xml:space="preserve">Step 5 </t>
    </r>
    <r>
      <rPr>
        <sz val="11"/>
        <color theme="1"/>
        <rFont val="Calibri"/>
        <family val="2"/>
        <scheme val="minor"/>
      </rPr>
      <t>- Review a summary of the results using the</t>
    </r>
    <r>
      <rPr>
        <i/>
        <sz val="11"/>
        <color theme="1"/>
        <rFont val="Calibri"/>
        <family val="2"/>
        <scheme val="minor"/>
      </rPr>
      <t xml:space="preserve"> Aggregated Results</t>
    </r>
    <r>
      <rPr>
        <sz val="11"/>
        <color theme="1"/>
        <rFont val="Calibri"/>
        <family val="2"/>
        <scheme val="minor"/>
      </rPr>
      <t xml:space="preserve"> worksheet to gain a high level picture of the overall level of maturity for the environment assessed.</t>
    </r>
  </si>
  <si>
    <r>
      <rPr>
        <b/>
        <i/>
        <sz val="11"/>
        <color theme="1"/>
        <rFont val="Calibri"/>
        <family val="2"/>
        <scheme val="minor"/>
      </rPr>
      <t xml:space="preserve">Step 4 </t>
    </r>
    <r>
      <rPr>
        <sz val="11"/>
        <color theme="1"/>
        <rFont val="Calibri"/>
        <family val="2"/>
        <scheme val="minor"/>
      </rPr>
      <t>- Carry out the assessment by selecting the appropriate level of maturity within the assessed environment for each step using the drop-down lists on the 3 A</t>
    </r>
    <r>
      <rPr>
        <i/>
        <sz val="11"/>
        <color theme="1"/>
        <rFont val="Calibri"/>
        <family val="2"/>
        <scheme val="minor"/>
      </rPr>
      <t>ssessment</t>
    </r>
    <r>
      <rPr>
        <sz val="11"/>
        <color theme="1"/>
        <rFont val="Calibri"/>
        <family val="2"/>
        <scheme val="minor"/>
      </rPr>
      <t xml:space="preserve"> worksheets, together with any supporting evidence. Any additional comments can be entered in the </t>
    </r>
    <r>
      <rPr>
        <i/>
        <sz val="11"/>
        <color theme="1"/>
        <rFont val="Calibri"/>
        <family val="2"/>
        <scheme val="minor"/>
      </rPr>
      <t>Comments</t>
    </r>
    <r>
      <rPr>
        <sz val="11"/>
        <color theme="1"/>
        <rFont val="Calibri"/>
        <family val="2"/>
        <scheme val="minor"/>
      </rPr>
      <t xml:space="preserve"> column.</t>
    </r>
  </si>
  <si>
    <t>A technical security assurance framework would typically include multiple environments for testing, a security architecture, an ongoing security monitoring services (e.g. in a SOC), an adequate range of technical security services and a balanced selection of preventative, detective and reactive security controls; supported by sufficient budget, skilled resources, processes, tools and technologies, adequate management support and an IT or Cyber security risk management programme.</t>
  </si>
  <si>
    <t>The management assurance framework should provide assurance to stakeholders that: the objectives of penetration tests are achieved; contracts with service providers are defined, agreed, signed off and monitored; risks to your organisation (e.g. degradation or loss of services; disclosure of sensitive information) are kept to a minimum; changes to testing scope are managed effectively; and that any problems are resolved satisfactorily.</t>
  </si>
  <si>
    <t>Your assurance process should help you to effectively monitor requirements definitions, planning and preparation, as well as performance of the actual testing; and define control processes over all important management aspects of testing. The penetration testing contract should specify explicit exclusions (e.g. systems that are out of scope); any technical and operational constraints; roles and responsibilities for all parties’ concerned; and specific legal / regulatory requirements; together with specific timings and checkpoints; a problem escalation process; post-test corrective action strategy and action plan development; supported by agreed pricing and terms of business.</t>
  </si>
  <si>
    <t>Vulnerability identification and exploitation typically include testers examining: Attack avenues, vectors and threat agents; results from threat analysis; technical system / network / application vulnerabilities; and control weaknesses - supported by a range of techniques (e.g. exploit techniques; escalation techniques; advancement techniques; and analysis techniques) to try and take advantage of specific weaknesses.</t>
  </si>
  <si>
    <t>When determining the style of penetration testing to be part of the scope, you should: evaluate the need for black, grey or white box testing; consider the use of an ‘external’ penetration test, aimed at IT systems from ‘outside the building’ and / or an internal security test, end-to-end testing (i.e. for people, through data, devices, applications and infrastructure), emerging technologies (e.g. mobile applications); and social engineering. The type of testing to consider as part of the scope should include web application, IT infrastructure and specialised penetration testing, as well as whether or not testing should be performed in live and / or test environments.</t>
  </si>
  <si>
    <t>Detailed test plans should be produced by your testing service provider; agreed with your organisation prior to any testing commencing; specify what will actually be done during the test itself; and help to assure the process for a proper security test without creating misunderstandings, misconceptions, or false expectations.</t>
  </si>
  <si>
    <t>Does penetration testing include testers identifying a range of potential vulnerabilities in target systems, then trying to exploit the vulnerabilities identified and actually penetrate the target system?</t>
  </si>
  <si>
    <t>On completion of penetration tests, is an improvement programme initiated?</t>
  </si>
  <si>
    <t>Actions plans should: be formally developed and approved; outline all relevant actions to be taken, include relevant details of the actions to be taken, implemented effectively and monitored to ensure progress is being made and that risks are being kept within acceptable limits. Results from penetration tests should be used when considering what to test in the future (e.g. infrastructure, web applications, mobile devices), how future tests should be undertaken; and when (e.g. on a regular basis (e.g. annually); after significant technical or business changes are made: or in response to a major security incident).</t>
  </si>
  <si>
    <r>
      <rPr>
        <b/>
        <i/>
        <sz val="11"/>
        <color theme="1"/>
        <rFont val="Calibri"/>
        <family val="2"/>
        <scheme val="minor"/>
      </rPr>
      <t xml:space="preserve">Step 3 </t>
    </r>
    <r>
      <rPr>
        <sz val="11"/>
        <color theme="1"/>
        <rFont val="Calibri"/>
        <family val="2"/>
        <scheme val="minor"/>
      </rPr>
      <t xml:space="preserve">- On the </t>
    </r>
    <r>
      <rPr>
        <i/>
        <sz val="11"/>
        <color theme="1"/>
        <rFont val="Calibri"/>
        <family val="2"/>
        <scheme val="minor"/>
      </rPr>
      <t>Assessment</t>
    </r>
    <r>
      <rPr>
        <sz val="11"/>
        <color theme="1"/>
        <rFont val="Calibri"/>
        <family val="2"/>
        <scheme val="minor"/>
      </rPr>
      <t xml:space="preserve"> worksheets use the checkboxes next to each step to deselect any steps not appropriate to the assessment. Then use the first column of drop-down lists to select  the target level of maturity required for each step. Evidence required to support responses can be entered in the </t>
    </r>
    <r>
      <rPr>
        <i/>
        <sz val="11"/>
        <color theme="1"/>
        <rFont val="Calibri"/>
        <family val="2"/>
        <scheme val="minor"/>
      </rPr>
      <t>Evidence</t>
    </r>
    <r>
      <rPr>
        <sz val="11"/>
        <color theme="1"/>
        <rFont val="Calibri"/>
        <family val="2"/>
        <scheme val="minor"/>
      </rPr>
      <t xml:space="preserve"> column.</t>
    </r>
  </si>
  <si>
    <t>Please select</t>
  </si>
  <si>
    <t>Select suitable suppliers</t>
  </si>
  <si>
    <t>Remediate weaknesses</t>
  </si>
  <si>
    <t>Initiate improvement programme</t>
  </si>
  <si>
    <t>Evaluate penetration testing effectiveness</t>
  </si>
  <si>
    <t>Build on lessons learned</t>
  </si>
  <si>
    <t>Create and monitor action plans</t>
  </si>
  <si>
    <t>• Detailed assessment tool (no macros), which allows a more detailed assessment to be made to determine the level of maturity of your penetration testing programme at a detailed level.</t>
  </si>
  <si>
    <t>detail_maturity_score</t>
  </si>
  <si>
    <t>maturity_response_frame</t>
  </si>
  <si>
    <t>sector_responses</t>
  </si>
  <si>
    <t>size_of_business_responses</t>
  </si>
  <si>
    <t>type_of_business_responses</t>
  </si>
  <si>
    <t>weighting_response_reverse</t>
  </si>
  <si>
    <t>weighting_responses</t>
  </si>
  <si>
    <t>MMAT_Results</t>
  </si>
  <si>
    <t>MMAT_Text_Ref</t>
  </si>
  <si>
    <t>MMAT_Header_Text</t>
  </si>
  <si>
    <t>Contents_Text</t>
  </si>
  <si>
    <t>Content_Headings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</si>
</sst>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
    <numFmt numFmtId="166" formatCode="yyyy\-mm\-dd;@"/>
  </numFmts>
  <fonts count="41" x14ac:knownFonts="1">
    <font>
      <sz val="11"/>
      <color theme="1"/>
      <name val="Calibri"/>
      <family val="2"/>
      <scheme val="minor"/>
    </font>
    <font>
      <sz val="10"/>
      <name val="Arial"/>
      <family val="2"/>
    </font>
    <font>
      <sz val="10"/>
      <name val="Calibri"/>
      <family val="2"/>
      <scheme val="minor"/>
    </font>
    <font>
      <b/>
      <sz val="14"/>
      <name val="Calibri"/>
      <family val="2"/>
      <scheme val="minor"/>
    </font>
    <font>
      <sz val="12"/>
      <name val="Calibri"/>
      <family val="2"/>
      <scheme val="minor"/>
    </font>
    <font>
      <i/>
      <sz val="10"/>
      <name val="Calibri"/>
      <family val="2"/>
      <scheme val="minor"/>
    </font>
    <font>
      <sz val="10"/>
      <name val="Verdana"/>
      <family val="2"/>
    </font>
    <font>
      <b/>
      <sz val="10"/>
      <name val="Calibri"/>
      <family val="2"/>
      <scheme val="minor"/>
    </font>
    <font>
      <b/>
      <sz val="11"/>
      <color theme="1"/>
      <name val="Calibri"/>
      <family val="2"/>
      <scheme val="minor"/>
    </font>
    <font>
      <sz val="11"/>
      <color theme="0"/>
      <name val="Calibri"/>
      <family val="2"/>
      <scheme val="minor"/>
    </font>
    <font>
      <b/>
      <sz val="15"/>
      <color theme="3"/>
      <name val="Calibri"/>
      <family val="2"/>
      <scheme val="minor"/>
    </font>
    <font>
      <b/>
      <sz val="13"/>
      <color theme="3"/>
      <name val="Calibri"/>
      <family val="2"/>
      <scheme val="minor"/>
    </font>
    <font>
      <b/>
      <u/>
      <sz val="15"/>
      <color theme="3"/>
      <name val="Calibri"/>
      <family val="2"/>
      <scheme val="minor"/>
    </font>
    <font>
      <sz val="20"/>
      <color theme="3"/>
      <name val="Calibri"/>
      <family val="2"/>
      <scheme val="minor"/>
    </font>
    <font>
      <sz val="11"/>
      <name val="Calibri"/>
      <family val="2"/>
      <scheme val="minor"/>
    </font>
    <font>
      <b/>
      <sz val="14"/>
      <color theme="0"/>
      <name val="Calibri"/>
      <family val="2"/>
      <scheme val="minor"/>
    </font>
    <font>
      <sz val="25"/>
      <color rgb="FF1F497D"/>
      <name val="Calibri"/>
      <family val="2"/>
      <scheme val="minor"/>
    </font>
    <font>
      <sz val="20"/>
      <color theme="0"/>
      <name val="Calibri"/>
      <family val="2"/>
      <scheme val="minor"/>
    </font>
    <font>
      <b/>
      <sz val="12"/>
      <color theme="1"/>
      <name val="Calibri"/>
      <family val="2"/>
      <scheme val="minor"/>
    </font>
    <font>
      <sz val="14"/>
      <name val="Calibri"/>
      <family val="2"/>
      <scheme val="minor"/>
    </font>
    <font>
      <sz val="18"/>
      <color theme="0"/>
      <name val="Calibri"/>
      <family val="2"/>
      <scheme val="minor"/>
    </font>
    <font>
      <b/>
      <sz val="16"/>
      <color theme="0"/>
      <name val="Calibri"/>
      <family val="2"/>
      <scheme val="minor"/>
    </font>
    <font>
      <sz val="14"/>
      <color theme="0"/>
      <name val="Calibri"/>
      <family val="2"/>
      <scheme val="minor"/>
    </font>
    <font>
      <b/>
      <sz val="14"/>
      <color rgb="FFFF0000"/>
      <name val="Calibri"/>
      <family val="2"/>
      <scheme val="minor"/>
    </font>
    <font>
      <sz val="15"/>
      <color theme="1"/>
      <name val="Calibri"/>
      <family val="2"/>
      <scheme val="minor"/>
    </font>
    <font>
      <sz val="14"/>
      <color theme="1"/>
      <name val="Calibri"/>
      <family val="2"/>
      <scheme val="minor"/>
    </font>
    <font>
      <b/>
      <sz val="11"/>
      <color theme="3"/>
      <name val="Calibri"/>
      <family val="2"/>
      <scheme val="minor"/>
    </font>
    <font>
      <b/>
      <sz val="11"/>
      <color rgb="FFFF0000"/>
      <name val="Calibri"/>
      <family val="2"/>
      <scheme val="minor"/>
    </font>
    <font>
      <b/>
      <sz val="11"/>
      <color rgb="FF00B050"/>
      <name val="Calibri"/>
      <family val="2"/>
      <scheme val="minor"/>
    </font>
    <font>
      <i/>
      <sz val="11"/>
      <color theme="1"/>
      <name val="Calibri"/>
      <family val="2"/>
      <scheme val="minor"/>
    </font>
    <font>
      <b/>
      <i/>
      <sz val="11"/>
      <color theme="1"/>
      <name val="Calibri"/>
      <family val="2"/>
      <scheme val="minor"/>
    </font>
    <font>
      <sz val="10"/>
      <color rgb="FFB30F10"/>
      <name val="Calibri"/>
      <family val="2"/>
      <scheme val="minor"/>
    </font>
    <font>
      <b/>
      <sz val="11"/>
      <color theme="0"/>
      <name val="Calibri"/>
      <family val="2"/>
      <scheme val="minor"/>
    </font>
    <font>
      <sz val="11"/>
      <color rgb="FF1F497D"/>
      <name val="Calibri"/>
      <family val="2"/>
      <scheme val="minor"/>
    </font>
    <font>
      <i/>
      <sz val="11"/>
      <color rgb="FF1F497D"/>
      <name val="Calibri"/>
      <family val="2"/>
      <scheme val="minor"/>
    </font>
    <font>
      <b/>
      <sz val="13"/>
      <color theme="0"/>
      <name val="Calibri"/>
      <family val="2"/>
      <scheme val="minor"/>
    </font>
    <font>
      <i/>
      <sz val="9"/>
      <name val="Calibri"/>
      <family val="2"/>
      <scheme val="minor"/>
    </font>
    <font>
      <b/>
      <i/>
      <sz val="9"/>
      <name val="Calibri"/>
      <family val="2"/>
      <scheme val="minor"/>
    </font>
    <font>
      <b/>
      <sz val="11"/>
      <color rgb="FFE87727"/>
      <name val="Calibri"/>
      <family val="2"/>
      <scheme val="minor"/>
    </font>
    <font>
      <sz val="11"/>
      <color theme="1"/>
      <name val="Calibri"/>
      <family val="2"/>
      <scheme val="minor"/>
    </font>
    <font>
      <b/>
      <sz val="11"/>
      <color theme="9" tint="0.59999389629810485"/>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theme="3" tint="0.79998168889431442"/>
        <bgColor indexed="64"/>
      </patternFill>
    </fill>
    <fill>
      <patternFill patternType="solid">
        <fgColor rgb="FF25408F"/>
        <bgColor indexed="64"/>
      </patternFill>
    </fill>
    <fill>
      <patternFill patternType="solid">
        <fgColor rgb="FF727375"/>
        <bgColor indexed="64"/>
      </patternFill>
    </fill>
    <fill>
      <patternFill patternType="solid">
        <fgColor rgb="FF921B1D"/>
        <bgColor indexed="64"/>
      </patternFill>
    </fill>
    <fill>
      <patternFill patternType="solid">
        <fgColor rgb="FFB30F10"/>
        <bgColor indexed="64"/>
      </patternFill>
    </fill>
    <fill>
      <patternFill patternType="solid">
        <fgColor rgb="FF14989C"/>
        <bgColor indexed="64"/>
      </patternFill>
    </fill>
    <fill>
      <patternFill patternType="solid">
        <fgColor rgb="FF9AB0BB"/>
        <bgColor indexed="64"/>
      </patternFill>
    </fill>
    <fill>
      <patternFill patternType="solid">
        <fgColor rgb="FFB20E0F"/>
        <bgColor indexed="64"/>
      </patternFill>
    </fill>
    <fill>
      <patternFill patternType="solid">
        <fgColor theme="6"/>
        <bgColor theme="6"/>
      </patternFill>
    </fill>
    <fill>
      <patternFill patternType="solid">
        <fgColor indexed="65"/>
        <bgColor theme="3" tint="0.39991454817346722"/>
      </patternFill>
    </fill>
    <fill>
      <patternFill patternType="solid">
        <fgColor indexed="65"/>
        <bgColor indexed="64"/>
      </patternFill>
    </fill>
    <fill>
      <patternFill patternType="solid">
        <fgColor theme="9" tint="0.59999389629810485"/>
        <bgColor indexed="64"/>
      </patternFill>
    </fill>
  </fills>
  <borders count="5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theme="4" tint="0.39997558519241921"/>
      </bottom>
      <diagonal/>
    </border>
    <border>
      <left style="thin">
        <color indexed="64"/>
      </left>
      <right/>
      <top/>
      <bottom style="medium">
        <color theme="4" tint="0.39997558519241921"/>
      </bottom>
      <diagonal/>
    </border>
    <border>
      <left style="thin">
        <color theme="0" tint="-0.499984740745262"/>
      </left>
      <right/>
      <top/>
      <bottom/>
      <diagonal/>
    </border>
    <border>
      <left/>
      <right/>
      <top style="thin">
        <color theme="0" tint="-0.34998626667073579"/>
      </top>
      <bottom style="thin">
        <color theme="0" tint="-0.34998626667073579"/>
      </bottom>
      <diagonal/>
    </border>
    <border>
      <left style="thin">
        <color theme="0" tint="-0.499984740745262"/>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499984740745262"/>
      </right>
      <top/>
      <bottom/>
      <diagonal/>
    </border>
    <border>
      <left style="thin">
        <color theme="6"/>
      </left>
      <right/>
      <top style="thin">
        <color theme="6"/>
      </top>
      <bottom/>
      <diagonal/>
    </border>
    <border>
      <left/>
      <right/>
      <top style="thin">
        <color theme="6"/>
      </top>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diagonal/>
    </border>
    <border>
      <left/>
      <right style="thin">
        <color theme="6"/>
      </right>
      <top style="thin">
        <color theme="6"/>
      </top>
      <bottom style="thin">
        <color theme="6"/>
      </bottom>
      <diagonal/>
    </border>
    <border>
      <left style="thin">
        <color indexed="64"/>
      </left>
      <right style="thin">
        <color indexed="64"/>
      </right>
      <top/>
      <bottom/>
      <diagonal/>
    </border>
    <border>
      <left style="thick">
        <color rgb="FFB30F10"/>
      </left>
      <right style="thick">
        <color rgb="FFB30F10"/>
      </right>
      <top style="thick">
        <color rgb="FFB30F10"/>
      </top>
      <bottom style="thick">
        <color rgb="FFB30F10"/>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bottom style="medium">
        <color indexed="64"/>
      </bottom>
      <diagonal/>
    </border>
    <border>
      <left/>
      <right/>
      <top style="thin">
        <color theme="0" tint="-0.34998626667073579"/>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bottom style="thin">
        <color theme="0" tint="-0.3499862666707357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0" fontId="1" fillId="0" borderId="0"/>
    <xf numFmtId="0" fontId="6" fillId="0" borderId="0"/>
    <xf numFmtId="0" fontId="10" fillId="0" borderId="7" applyNumberFormat="0" applyFill="0" applyAlignment="0" applyProtection="0"/>
    <xf numFmtId="0" fontId="11" fillId="0" borderId="8" applyNumberFormat="0" applyFill="0" applyAlignment="0" applyProtection="0"/>
    <xf numFmtId="0" fontId="26" fillId="0" borderId="15" applyNumberFormat="0" applyFill="0" applyAlignment="0" applyProtection="0"/>
  </cellStyleXfs>
  <cellXfs count="322">
    <xf numFmtId="0" fontId="0" fillId="0" borderId="0" xfId="0"/>
    <xf numFmtId="0" fontId="2" fillId="0" borderId="0" xfId="1" applyFont="1" applyFill="1" applyBorder="1" applyAlignment="1" applyProtection="1">
      <alignment vertical="top" wrapText="1"/>
    </xf>
    <xf numFmtId="1" fontId="4" fillId="0" borderId="0" xfId="1" applyNumberFormat="1" applyFont="1" applyFill="1" applyBorder="1" applyAlignment="1" applyProtection="1">
      <alignment horizontal="left" vertical="center"/>
    </xf>
    <xf numFmtId="1" fontId="5" fillId="0" borderId="0" xfId="1" applyNumberFormat="1" applyFont="1" applyFill="1" applyBorder="1" applyAlignment="1" applyProtection="1">
      <alignment horizontal="left" vertical="center"/>
    </xf>
    <xf numFmtId="0" fontId="2" fillId="0" borderId="0" xfId="1" applyFont="1" applyBorder="1" applyProtection="1"/>
    <xf numFmtId="0" fontId="2" fillId="0" borderId="0" xfId="1" applyFont="1" applyFill="1" applyBorder="1" applyProtection="1"/>
    <xf numFmtId="0" fontId="8" fillId="3" borderId="4" xfId="0" applyFont="1" applyFill="1" applyBorder="1" applyAlignment="1">
      <alignment vertical="top" wrapText="1"/>
    </xf>
    <xf numFmtId="0" fontId="8" fillId="0" borderId="0" xfId="0" applyFont="1" applyAlignment="1">
      <alignment vertical="center"/>
    </xf>
    <xf numFmtId="0" fontId="0" fillId="0" borderId="4" xfId="0" applyBorder="1" applyAlignment="1">
      <alignment vertical="center" wrapText="1"/>
    </xf>
    <xf numFmtId="0" fontId="0" fillId="0" borderId="0" xfId="0" applyAlignment="1">
      <alignment horizontal="left"/>
    </xf>
    <xf numFmtId="0" fontId="0" fillId="0" borderId="0" xfId="0" applyAlignment="1">
      <alignment vertical="center"/>
    </xf>
    <xf numFmtId="0" fontId="11" fillId="0" borderId="0" xfId="4" applyBorder="1"/>
    <xf numFmtId="0" fontId="10" fillId="0" borderId="0" xfId="3" applyBorder="1"/>
    <xf numFmtId="0" fontId="0" fillId="0" borderId="0" xfId="0"/>
    <xf numFmtId="0" fontId="12" fillId="0" borderId="0" xfId="3" applyFont="1" applyBorder="1" applyAlignment="1">
      <alignment vertical="center"/>
    </xf>
    <xf numFmtId="0" fontId="2" fillId="0" borderId="1" xfId="1" applyFont="1" applyFill="1" applyBorder="1" applyProtection="1"/>
    <xf numFmtId="0" fontId="2" fillId="2" borderId="2" xfId="1" applyFont="1" applyFill="1" applyBorder="1" applyAlignment="1" applyProtection="1">
      <alignment vertical="center" wrapText="1"/>
    </xf>
    <xf numFmtId="0" fontId="3" fillId="2" borderId="2" xfId="1" applyFont="1" applyFill="1" applyBorder="1" applyAlignment="1" applyProtection="1">
      <alignment horizontal="left" vertical="center" wrapText="1"/>
    </xf>
    <xf numFmtId="0" fontId="2" fillId="2" borderId="2" xfId="1" applyFont="1" applyFill="1" applyBorder="1" applyAlignment="1" applyProtection="1">
      <alignment vertical="center"/>
    </xf>
    <xf numFmtId="0" fontId="0" fillId="0" borderId="0" xfId="0" applyFill="1"/>
    <xf numFmtId="0" fontId="0" fillId="0" borderId="0" xfId="0" applyBorder="1"/>
    <xf numFmtId="0" fontId="0" fillId="0" borderId="0" xfId="0" applyProtection="1"/>
    <xf numFmtId="0" fontId="15" fillId="4" borderId="4" xfId="0" applyFont="1" applyFill="1" applyBorder="1" applyAlignment="1">
      <alignment vertical="center" wrapText="1"/>
    </xf>
    <xf numFmtId="165" fontId="9" fillId="0" borderId="10" xfId="0" applyNumberFormat="1" applyFont="1" applyBorder="1" applyAlignment="1" applyProtection="1">
      <alignment vertical="center" wrapText="1"/>
    </xf>
    <xf numFmtId="165" fontId="9" fillId="0" borderId="12" xfId="0" applyNumberFormat="1" applyFont="1" applyBorder="1" applyAlignment="1" applyProtection="1">
      <alignment vertical="center" wrapText="1"/>
    </xf>
    <xf numFmtId="164" fontId="0" fillId="0" borderId="11" xfId="0" applyNumberFormat="1" applyBorder="1" applyAlignment="1" applyProtection="1">
      <alignment horizontal="center" vertical="center"/>
    </xf>
    <xf numFmtId="165" fontId="9" fillId="0" borderId="10" xfId="0" applyNumberFormat="1" applyFont="1" applyBorder="1" applyAlignment="1">
      <alignment vertical="center" wrapText="1"/>
    </xf>
    <xf numFmtId="164" fontId="0" fillId="0" borderId="11" xfId="0" applyNumberFormat="1" applyBorder="1" applyAlignment="1">
      <alignment horizontal="center" vertical="center"/>
    </xf>
    <xf numFmtId="0" fontId="0" fillId="0" borderId="4" xfId="0"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0" fillId="0" borderId="14" xfId="0" applyBorder="1" applyAlignment="1">
      <alignment vertical="center"/>
    </xf>
    <xf numFmtId="0" fontId="0" fillId="0" borderId="3" xfId="0" applyBorder="1" applyAlignment="1">
      <alignment vertical="center" wrapText="1"/>
    </xf>
    <xf numFmtId="0" fontId="0" fillId="0" borderId="14" xfId="0" applyBorder="1" applyAlignment="1">
      <alignment vertical="center" wrapText="1"/>
    </xf>
    <xf numFmtId="0" fontId="10" fillId="0" borderId="0" xfId="3" applyBorder="1" applyAlignment="1">
      <alignment horizontal="center"/>
    </xf>
    <xf numFmtId="0" fontId="18" fillId="3" borderId="5" xfId="0" applyFont="1" applyFill="1" applyBorder="1" applyAlignment="1">
      <alignment vertical="center"/>
    </xf>
    <xf numFmtId="0" fontId="21" fillId="6" borderId="14" xfId="0" applyFont="1" applyFill="1" applyBorder="1" applyAlignment="1">
      <alignment vertical="center" wrapText="1"/>
    </xf>
    <xf numFmtId="0" fontId="2" fillId="0" borderId="1" xfId="1" applyFont="1" applyFill="1" applyBorder="1" applyAlignment="1" applyProtection="1">
      <alignment vertical="top" wrapText="1"/>
    </xf>
    <xf numFmtId="0" fontId="7" fillId="0" borderId="1" xfId="1" applyFont="1" applyFill="1" applyBorder="1" applyAlignment="1" applyProtection="1">
      <alignment vertical="top" wrapText="1"/>
    </xf>
    <xf numFmtId="0" fontId="14" fillId="0" borderId="1" xfId="1" applyFont="1" applyFill="1" applyBorder="1" applyAlignment="1" applyProtection="1">
      <alignment horizontal="left" vertical="center"/>
    </xf>
    <xf numFmtId="0" fontId="4" fillId="0" borderId="1" xfId="1" applyFont="1" applyFill="1" applyBorder="1" applyAlignment="1" applyProtection="1">
      <alignment horizontal="left" vertical="center" wrapText="1" indent="2"/>
    </xf>
    <xf numFmtId="0" fontId="2" fillId="0" borderId="2" xfId="1" applyFont="1" applyFill="1" applyBorder="1" applyAlignment="1" applyProtection="1">
      <alignment vertical="top" wrapText="1"/>
    </xf>
    <xf numFmtId="0" fontId="7" fillId="0" borderId="2" xfId="1" applyFont="1" applyFill="1" applyBorder="1" applyAlignment="1" applyProtection="1">
      <alignment vertical="top" wrapText="1"/>
    </xf>
    <xf numFmtId="0" fontId="14" fillId="0" borderId="2" xfId="1" applyFont="1" applyFill="1" applyBorder="1" applyAlignment="1" applyProtection="1">
      <alignment horizontal="left" vertical="center"/>
    </xf>
    <xf numFmtId="0" fontId="4" fillId="0" borderId="2" xfId="1" applyFont="1" applyFill="1" applyBorder="1" applyAlignment="1" applyProtection="1">
      <alignment horizontal="left" vertical="center" wrapText="1" indent="2"/>
    </xf>
    <xf numFmtId="0" fontId="2" fillId="0" borderId="2" xfId="1" applyFont="1" applyFill="1" applyBorder="1" applyProtection="1"/>
    <xf numFmtId="0" fontId="7" fillId="0" borderId="0" xfId="1" applyFont="1" applyFill="1" applyBorder="1" applyAlignment="1" applyProtection="1">
      <alignment vertical="top" wrapText="1"/>
    </xf>
    <xf numFmtId="0" fontId="14" fillId="0" borderId="0" xfId="1" applyFont="1" applyFill="1" applyBorder="1" applyAlignment="1" applyProtection="1">
      <alignment horizontal="left" vertical="center"/>
    </xf>
    <xf numFmtId="0" fontId="2" fillId="0" borderId="0" xfId="1" applyFont="1" applyFill="1" applyBorder="1" applyProtection="1">
      <protection locked="0"/>
    </xf>
    <xf numFmtId="0" fontId="0" fillId="0" borderId="0" xfId="0" applyProtection="1">
      <protection locked="0"/>
    </xf>
    <xf numFmtId="0" fontId="22" fillId="4" borderId="0" xfId="0" applyFont="1" applyFill="1" applyBorder="1" applyAlignment="1">
      <alignment horizontal="left" vertical="center" wrapText="1"/>
    </xf>
    <xf numFmtId="0" fontId="23" fillId="2" borderId="2" xfId="1" applyFont="1" applyFill="1" applyBorder="1" applyAlignment="1" applyProtection="1">
      <alignment horizontal="left" vertical="center" indent="2"/>
    </xf>
    <xf numFmtId="0" fontId="24" fillId="0" borderId="0" xfId="0" applyFont="1" applyAlignment="1">
      <alignment horizontal="center"/>
    </xf>
    <xf numFmtId="0" fontId="0" fillId="0" borderId="0" xfId="0" applyFill="1" applyProtection="1"/>
    <xf numFmtId="0" fontId="10" fillId="0" borderId="0" xfId="3" applyBorder="1" applyAlignment="1" applyProtection="1">
      <alignment horizontal="center"/>
    </xf>
    <xf numFmtId="0" fontId="24" fillId="0" borderId="0" xfId="0" applyFont="1" applyAlignment="1" applyProtection="1">
      <alignment horizontal="center"/>
    </xf>
    <xf numFmtId="0" fontId="24" fillId="0" borderId="0" xfId="0" applyFont="1" applyAlignment="1" applyProtection="1">
      <alignment horizontal="center" wrapText="1"/>
    </xf>
    <xf numFmtId="0" fontId="24" fillId="0" borderId="0" xfId="0" applyFont="1" applyProtection="1"/>
    <xf numFmtId="0" fontId="25" fillId="0" borderId="0" xfId="0" applyFont="1" applyAlignment="1">
      <alignment horizontal="center"/>
    </xf>
    <xf numFmtId="0" fontId="25" fillId="0" borderId="0" xfId="0" applyFont="1" applyAlignment="1" applyProtection="1">
      <alignment horizontal="center"/>
    </xf>
    <xf numFmtId="0" fontId="25" fillId="0" borderId="0" xfId="0" applyFont="1" applyAlignment="1" applyProtection="1">
      <alignment horizontal="center" wrapText="1"/>
    </xf>
    <xf numFmtId="0" fontId="2" fillId="0" borderId="1" xfId="1" applyFont="1" applyFill="1" applyBorder="1" applyProtection="1">
      <protection locked="0"/>
    </xf>
    <xf numFmtId="0" fontId="2" fillId="0" borderId="0" xfId="1" applyFont="1" applyBorder="1" applyProtection="1">
      <protection locked="0"/>
    </xf>
    <xf numFmtId="0" fontId="2" fillId="2" borderId="2" xfId="1" applyFont="1" applyFill="1" applyBorder="1" applyAlignment="1" applyProtection="1">
      <alignment vertical="center"/>
      <protection locked="0"/>
    </xf>
    <xf numFmtId="0" fontId="2" fillId="0" borderId="2" xfId="1" applyFont="1" applyFill="1" applyBorder="1" applyProtection="1">
      <protection locked="0"/>
    </xf>
    <xf numFmtId="49" fontId="0" fillId="0" borderId="0" xfId="0" applyNumberFormat="1" applyAlignment="1">
      <alignment horizontal="left"/>
    </xf>
    <xf numFmtId="0" fontId="22" fillId="5" borderId="17" xfId="0" applyFont="1" applyFill="1" applyBorder="1" applyAlignment="1">
      <alignment vertical="center"/>
    </xf>
    <xf numFmtId="0" fontId="0" fillId="0" borderId="18" xfId="0" applyBorder="1" applyAlignment="1">
      <alignment horizontal="left"/>
    </xf>
    <xf numFmtId="49" fontId="0" fillId="0" borderId="18" xfId="0" applyNumberFormat="1" applyBorder="1" applyAlignment="1">
      <alignment horizontal="left"/>
    </xf>
    <xf numFmtId="0" fontId="0" fillId="0" borderId="18" xfId="0" applyBorder="1"/>
    <xf numFmtId="0" fontId="0" fillId="0" borderId="19" xfId="0" applyBorder="1" applyAlignment="1">
      <alignment horizontal="left" vertical="top" wrapText="1"/>
    </xf>
    <xf numFmtId="0" fontId="0" fillId="0" borderId="18" xfId="0" applyBorder="1" applyAlignment="1">
      <alignment horizontal="left" vertical="top" wrapText="1"/>
    </xf>
    <xf numFmtId="0" fontId="0" fillId="0" borderId="0" xfId="0" applyBorder="1" applyAlignment="1">
      <alignment horizontal="left"/>
    </xf>
    <xf numFmtId="49" fontId="0" fillId="0" borderId="0" xfId="0" applyNumberFormat="1" applyBorder="1" applyAlignment="1">
      <alignment horizontal="left"/>
    </xf>
    <xf numFmtId="0" fontId="0" fillId="0" borderId="0" xfId="0" applyFill="1" applyBorder="1"/>
    <xf numFmtId="0" fontId="0" fillId="0" borderId="18" xfId="0" applyFill="1" applyBorder="1"/>
    <xf numFmtId="0" fontId="14" fillId="0" borderId="18" xfId="0" applyFont="1" applyFill="1" applyBorder="1" applyAlignment="1">
      <alignment horizontal="left" vertical="center" wrapText="1"/>
    </xf>
    <xf numFmtId="0" fontId="14" fillId="0" borderId="0"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protection locked="0"/>
    </xf>
    <xf numFmtId="0" fontId="0" fillId="0" borderId="0" xfId="0" applyFill="1" applyBorder="1" applyProtection="1">
      <protection locked="0"/>
    </xf>
    <xf numFmtId="0" fontId="0" fillId="0" borderId="18" xfId="0" applyFill="1" applyBorder="1" applyProtection="1">
      <protection locked="0"/>
    </xf>
    <xf numFmtId="0" fontId="14" fillId="0" borderId="0" xfId="0" applyFont="1" applyFill="1" applyBorder="1" applyAlignment="1" applyProtection="1">
      <alignment horizontal="center" vertical="center" wrapText="1"/>
    </xf>
    <xf numFmtId="0" fontId="14" fillId="0" borderId="18" xfId="0" applyFont="1" applyFill="1" applyBorder="1" applyAlignment="1" applyProtection="1">
      <alignment horizontal="center" vertical="center" wrapText="1"/>
    </xf>
    <xf numFmtId="0" fontId="0" fillId="0" borderId="0" xfId="0" applyAlignment="1" applyProtection="1">
      <alignment vertical="top"/>
    </xf>
    <xf numFmtId="0" fontId="25" fillId="0" borderId="0" xfId="0" applyFont="1" applyAlignment="1" applyProtection="1"/>
    <xf numFmtId="0" fontId="25" fillId="0" borderId="0" xfId="0" applyFont="1" applyAlignment="1">
      <alignment vertical="center"/>
    </xf>
    <xf numFmtId="0" fontId="0" fillId="0" borderId="20" xfId="0" applyBorder="1" applyAlignment="1">
      <alignment horizontal="left" vertical="top" wrapText="1"/>
    </xf>
    <xf numFmtId="0" fontId="0" fillId="0" borderId="22" xfId="0" applyBorder="1"/>
    <xf numFmtId="0" fontId="0" fillId="0" borderId="0" xfId="0" applyAlignment="1">
      <alignment horizontal="left" vertical="top" wrapText="1"/>
    </xf>
    <xf numFmtId="0" fontId="15" fillId="8" borderId="4" xfId="0" applyFont="1" applyFill="1" applyBorder="1" applyAlignment="1">
      <alignment vertical="center" wrapText="1"/>
    </xf>
    <xf numFmtId="0" fontId="15" fillId="9" borderId="4" xfId="0" applyFont="1" applyFill="1" applyBorder="1" applyAlignment="1">
      <alignment vertical="center" wrapText="1"/>
    </xf>
    <xf numFmtId="0" fontId="15" fillId="9" borderId="10" xfId="0" applyFont="1" applyFill="1" applyBorder="1" applyAlignment="1">
      <alignment vertical="center" wrapText="1"/>
    </xf>
    <xf numFmtId="0" fontId="15" fillId="9" borderId="0" xfId="0" applyFont="1" applyFill="1" applyBorder="1" applyAlignment="1">
      <alignment vertical="center" wrapText="1"/>
    </xf>
    <xf numFmtId="0" fontId="17" fillId="7" borderId="0" xfId="3" applyFont="1" applyFill="1" applyBorder="1" applyAlignment="1">
      <alignment horizontal="left"/>
    </xf>
    <xf numFmtId="49" fontId="17" fillId="7" borderId="0" xfId="3" applyNumberFormat="1" applyFont="1" applyFill="1" applyBorder="1" applyAlignment="1">
      <alignment horizontal="left" vertical="center"/>
    </xf>
    <xf numFmtId="0" fontId="17" fillId="7" borderId="0" xfId="3" applyFont="1" applyFill="1" applyBorder="1" applyAlignment="1">
      <alignment horizontal="left" vertical="center"/>
    </xf>
    <xf numFmtId="0" fontId="17" fillId="7" borderId="0" xfId="3" applyFont="1" applyFill="1" applyBorder="1" applyAlignment="1" applyProtection="1">
      <alignment horizontal="left" vertical="center"/>
      <protection locked="0"/>
    </xf>
    <xf numFmtId="0" fontId="22" fillId="7" borderId="0" xfId="0" applyFont="1" applyFill="1" applyAlignment="1">
      <alignment horizontal="center" vertical="center"/>
    </xf>
    <xf numFmtId="49" fontId="4" fillId="0" borderId="30" xfId="0" applyNumberFormat="1" applyFont="1" applyFill="1" applyBorder="1" applyAlignment="1" applyProtection="1">
      <alignment horizontal="center" vertical="center" wrapText="1"/>
      <protection locked="0"/>
    </xf>
    <xf numFmtId="0" fontId="31" fillId="7" borderId="0" xfId="3" applyFont="1" applyFill="1" applyBorder="1" applyAlignment="1">
      <alignment horizontal="left" vertical="center"/>
    </xf>
    <xf numFmtId="0" fontId="22" fillId="8" borderId="18" xfId="0" applyFont="1" applyFill="1" applyBorder="1" applyAlignment="1">
      <alignment horizontal="left" vertical="center" wrapText="1"/>
    </xf>
    <xf numFmtId="0" fontId="22" fillId="8" borderId="18" xfId="0" applyFont="1" applyFill="1" applyBorder="1" applyAlignment="1">
      <alignment horizontal="center" vertical="center" wrapText="1"/>
    </xf>
    <xf numFmtId="0" fontId="22" fillId="8" borderId="18" xfId="0" applyFont="1" applyFill="1" applyBorder="1" applyAlignment="1">
      <alignment horizontal="left" vertical="center"/>
    </xf>
    <xf numFmtId="0" fontId="22" fillId="7" borderId="0" xfId="0" applyFont="1" applyFill="1" applyBorder="1" applyAlignment="1">
      <alignment horizontal="left" vertical="center" wrapText="1"/>
    </xf>
    <xf numFmtId="0" fontId="22" fillId="7" borderId="0" xfId="0" applyFont="1" applyFill="1" applyBorder="1" applyAlignment="1">
      <alignment horizontal="center" vertical="center" wrapText="1"/>
    </xf>
    <xf numFmtId="0" fontId="22" fillId="5" borderId="20" xfId="0" applyFont="1" applyFill="1" applyBorder="1" applyAlignment="1">
      <alignment vertical="center"/>
    </xf>
    <xf numFmtId="0" fontId="22" fillId="8" borderId="0" xfId="0" applyFont="1" applyFill="1" applyBorder="1" applyAlignment="1">
      <alignment horizontal="center" vertical="center" wrapText="1"/>
    </xf>
    <xf numFmtId="0" fontId="0" fillId="0" borderId="0" xfId="0" applyAlignment="1">
      <alignment horizontal="left" vertical="top" wrapText="1"/>
    </xf>
    <xf numFmtId="0" fontId="16" fillId="0" borderId="0" xfId="0" applyFont="1" applyBorder="1" applyAlignment="1">
      <alignment horizontal="left" vertical="center" wrapText="1" indent="25"/>
    </xf>
    <xf numFmtId="0" fontId="8" fillId="0" borderId="0" xfId="0" applyFont="1" applyAlignment="1">
      <alignment horizontal="center" vertical="center"/>
    </xf>
    <xf numFmtId="0" fontId="20" fillId="5" borderId="17" xfId="0" applyFont="1" applyFill="1" applyBorder="1" applyAlignment="1">
      <alignment vertical="center"/>
    </xf>
    <xf numFmtId="0" fontId="20" fillId="7" borderId="0" xfId="0" applyFont="1" applyFill="1" applyBorder="1" applyAlignment="1">
      <alignment horizontal="left" vertical="center"/>
    </xf>
    <xf numFmtId="0" fontId="13" fillId="0" borderId="0" xfId="3" applyFont="1" applyBorder="1" applyAlignment="1">
      <alignment vertical="center"/>
    </xf>
    <xf numFmtId="0" fontId="0" fillId="0" borderId="10" xfId="0" applyFont="1" applyBorder="1" applyAlignment="1">
      <alignment horizontal="center" vertical="center" wrapText="1"/>
    </xf>
    <xf numFmtId="0" fontId="0" fillId="0" borderId="0" xfId="0" applyFont="1" applyAlignment="1">
      <alignment horizontal="center" vertical="center" wrapText="1"/>
    </xf>
    <xf numFmtId="0" fontId="16" fillId="0" borderId="0" xfId="0" applyFont="1" applyBorder="1" applyAlignment="1">
      <alignment horizontal="left" vertical="center" wrapText="1" indent="14"/>
    </xf>
    <xf numFmtId="0" fontId="35" fillId="8" borderId="10" xfId="0" applyFont="1" applyFill="1" applyBorder="1" applyAlignment="1">
      <alignment vertical="center" wrapText="1"/>
    </xf>
    <xf numFmtId="49" fontId="0" fillId="0" borderId="32" xfId="0" applyNumberFormat="1" applyBorder="1" applyAlignment="1">
      <alignment horizontal="left"/>
    </xf>
    <xf numFmtId="0" fontId="0" fillId="0" borderId="32" xfId="0" applyBorder="1"/>
    <xf numFmtId="0" fontId="0" fillId="0" borderId="33" xfId="0" applyBorder="1" applyAlignment="1">
      <alignment horizontal="left" vertical="top" wrapText="1"/>
    </xf>
    <xf numFmtId="0" fontId="0" fillId="0" borderId="32" xfId="0" applyBorder="1" applyAlignment="1">
      <alignment horizontal="left" vertical="top" wrapText="1"/>
    </xf>
    <xf numFmtId="0" fontId="0" fillId="0" borderId="32" xfId="0" applyBorder="1" applyAlignment="1">
      <alignment horizontal="center" vertical="center"/>
    </xf>
    <xf numFmtId="0" fontId="0" fillId="0" borderId="32" xfId="0" applyBorder="1" applyAlignment="1" applyProtection="1">
      <alignment horizontal="left" vertical="top" wrapText="1"/>
      <protection locked="0"/>
    </xf>
    <xf numFmtId="0" fontId="14" fillId="0" borderId="32" xfId="0" applyFont="1" applyFill="1" applyBorder="1" applyAlignment="1">
      <alignment horizontal="left" vertical="center" wrapText="1"/>
    </xf>
    <xf numFmtId="0" fontId="14" fillId="0" borderId="32" xfId="0" applyFont="1" applyFill="1" applyBorder="1" applyAlignment="1" applyProtection="1">
      <alignment horizontal="center" vertical="center" wrapText="1"/>
      <protection locked="0"/>
    </xf>
    <xf numFmtId="0" fontId="0" fillId="0" borderId="32" xfId="0" applyFill="1" applyBorder="1"/>
    <xf numFmtId="0" fontId="17" fillId="7" borderId="0" xfId="3" applyFont="1" applyFill="1" applyBorder="1" applyAlignment="1" applyProtection="1">
      <alignment horizontal="left" vertical="center"/>
    </xf>
    <xf numFmtId="0" fontId="35" fillId="8" borderId="0" xfId="0" applyFont="1" applyFill="1" applyBorder="1" applyAlignment="1">
      <alignment vertical="center" wrapText="1"/>
    </xf>
    <xf numFmtId="0" fontId="21" fillId="6" borderId="9" xfId="0" applyFont="1" applyFill="1" applyBorder="1" applyAlignment="1">
      <alignment vertical="center" wrapText="1"/>
    </xf>
    <xf numFmtId="0" fontId="0" fillId="0" borderId="12" xfId="0" applyBorder="1" applyAlignment="1">
      <alignment vertical="center" wrapText="1"/>
    </xf>
    <xf numFmtId="0" fontId="0" fillId="0" borderId="5" xfId="0" applyBorder="1" applyAlignment="1">
      <alignment vertical="center" wrapText="1"/>
    </xf>
    <xf numFmtId="0" fontId="0" fillId="0" borderId="9" xfId="0" applyBorder="1" applyAlignment="1">
      <alignment vertical="center" wrapText="1"/>
    </xf>
    <xf numFmtId="0" fontId="21" fillId="6" borderId="0" xfId="0" applyFont="1" applyFill="1" applyBorder="1" applyAlignment="1">
      <alignment vertical="center" wrapText="1"/>
    </xf>
    <xf numFmtId="0" fontId="0" fillId="0" borderId="0" xfId="0" applyFill="1" applyProtection="1">
      <protection locked="0"/>
    </xf>
    <xf numFmtId="0" fontId="0" fillId="0" borderId="32" xfId="0" applyBorder="1" applyAlignment="1">
      <alignment horizontal="left"/>
    </xf>
    <xf numFmtId="0" fontId="0" fillId="0" borderId="0" xfId="0" applyBorder="1" applyProtection="1"/>
    <xf numFmtId="0" fontId="17" fillId="7" borderId="0" xfId="3" applyFont="1" applyFill="1" applyBorder="1" applyAlignment="1" applyProtection="1">
      <alignment horizontal="left" vertical="center"/>
    </xf>
    <xf numFmtId="0" fontId="0" fillId="13" borderId="32" xfId="0" applyFill="1" applyBorder="1" applyAlignment="1">
      <alignment horizontal="left"/>
    </xf>
    <xf numFmtId="0" fontId="29" fillId="0" borderId="32" xfId="0" applyFont="1" applyBorder="1" applyAlignment="1">
      <alignment horizontal="left" vertical="top" wrapText="1" indent="2"/>
    </xf>
    <xf numFmtId="0" fontId="36" fillId="12" borderId="32" xfId="0" applyFont="1" applyFill="1" applyBorder="1" applyAlignment="1">
      <alignment horizontal="center" vertical="center" wrapText="1"/>
    </xf>
    <xf numFmtId="0" fontId="0" fillId="12" borderId="32" xfId="0" applyFill="1" applyBorder="1" applyAlignment="1">
      <alignment horizontal="left" vertical="top" wrapText="1"/>
    </xf>
    <xf numFmtId="0" fontId="37" fillId="12" borderId="32" xfId="0" applyFont="1" applyFill="1" applyBorder="1" applyAlignment="1">
      <alignment horizontal="center" vertical="center" wrapText="1"/>
    </xf>
    <xf numFmtId="0" fontId="22" fillId="5" borderId="33" xfId="0" applyFont="1" applyFill="1" applyBorder="1" applyAlignment="1">
      <alignment vertical="center"/>
    </xf>
    <xf numFmtId="0" fontId="22" fillId="7" borderId="32" xfId="0" applyFont="1" applyFill="1" applyBorder="1" applyAlignment="1">
      <alignment horizontal="left" vertical="center"/>
    </xf>
    <xf numFmtId="0" fontId="8" fillId="0" borderId="0" xfId="0" applyFont="1" applyAlignment="1">
      <alignment wrapText="1"/>
    </xf>
    <xf numFmtId="0" fontId="17" fillId="7" borderId="0" xfId="3" applyFont="1" applyFill="1" applyBorder="1" applyAlignment="1">
      <alignment horizontal="left" vertical="center"/>
    </xf>
    <xf numFmtId="0" fontId="0" fillId="0" borderId="18" xfId="0" applyNumberFormat="1" applyBorder="1" applyAlignment="1">
      <alignment horizontal="left"/>
    </xf>
    <xf numFmtId="0" fontId="29" fillId="0" borderId="18" xfId="0" applyFont="1" applyBorder="1" applyAlignment="1">
      <alignment horizontal="left" vertical="top" wrapText="1" indent="2"/>
    </xf>
    <xf numFmtId="0" fontId="0" fillId="0" borderId="35" xfId="0" applyNumberFormat="1" applyBorder="1" applyAlignment="1">
      <alignment horizontal="left"/>
    </xf>
    <xf numFmtId="0" fontId="0" fillId="13" borderId="18" xfId="0" applyFill="1" applyBorder="1" applyAlignment="1">
      <alignment horizontal="left" vertical="top" wrapText="1"/>
    </xf>
    <xf numFmtId="0" fontId="0" fillId="13" borderId="18" xfId="0" applyFill="1" applyBorder="1"/>
    <xf numFmtId="0" fontId="17" fillId="7" borderId="0" xfId="3" applyFont="1" applyFill="1" applyBorder="1" applyAlignment="1" applyProtection="1">
      <alignment horizontal="left" vertical="center"/>
    </xf>
    <xf numFmtId="0" fontId="0" fillId="0" borderId="0" xfId="0" applyAlignment="1" applyProtection="1">
      <alignment horizontal="left"/>
    </xf>
    <xf numFmtId="0" fontId="22" fillId="8" borderId="18" xfId="0" applyFont="1" applyFill="1" applyBorder="1" applyAlignment="1">
      <alignment horizontal="left" vertical="top" wrapText="1"/>
    </xf>
    <xf numFmtId="0" fontId="14" fillId="0" borderId="35" xfId="0" applyFont="1" applyFill="1" applyBorder="1" applyAlignment="1" applyProtection="1">
      <alignment horizontal="center" vertical="center" wrapText="1"/>
    </xf>
    <xf numFmtId="0" fontId="35" fillId="8" borderId="0" xfId="0" applyFont="1" applyFill="1" applyBorder="1" applyAlignment="1">
      <alignment horizontal="left" vertical="center" wrapText="1" indent="1"/>
    </xf>
    <xf numFmtId="0" fontId="15" fillId="9" borderId="29" xfId="0" applyFont="1" applyFill="1" applyBorder="1" applyAlignment="1">
      <alignment vertical="center" wrapText="1"/>
    </xf>
    <xf numFmtId="0" fontId="35" fillId="8" borderId="9" xfId="0" applyFont="1" applyFill="1" applyBorder="1" applyAlignment="1">
      <alignment vertical="center" wrapText="1"/>
    </xf>
    <xf numFmtId="0" fontId="35" fillId="8" borderId="2" xfId="0" applyFont="1" applyFill="1" applyBorder="1" applyAlignment="1">
      <alignment vertical="center" wrapText="1"/>
    </xf>
    <xf numFmtId="0" fontId="35" fillId="8" borderId="2" xfId="0" applyFont="1" applyFill="1" applyBorder="1" applyAlignment="1">
      <alignment horizontal="left" vertical="center" wrapText="1" indent="1"/>
    </xf>
    <xf numFmtId="0" fontId="0" fillId="0" borderId="10" xfId="0" applyBorder="1" applyAlignment="1">
      <alignment vertical="center" wrapText="1"/>
    </xf>
    <xf numFmtId="0" fontId="18" fillId="3" borderId="4" xfId="0" applyFont="1" applyFill="1" applyBorder="1" applyAlignment="1">
      <alignment horizontal="center" wrapText="1"/>
    </xf>
    <xf numFmtId="0" fontId="8" fillId="0" borderId="3" xfId="0" applyFont="1" applyBorder="1" applyAlignment="1">
      <alignment horizontal="center" vertical="center" wrapText="1"/>
    </xf>
    <xf numFmtId="165" fontId="9" fillId="0" borderId="12" xfId="0" applyNumberFormat="1" applyFont="1" applyBorder="1" applyAlignment="1">
      <alignment vertical="center" wrapText="1"/>
    </xf>
    <xf numFmtId="2" fontId="0" fillId="0" borderId="14" xfId="0" applyNumberFormat="1" applyBorder="1" applyAlignment="1">
      <alignment vertical="center"/>
    </xf>
    <xf numFmtId="0" fontId="8" fillId="0" borderId="0" xfId="0" applyFont="1" applyAlignment="1" applyProtection="1">
      <alignment vertical="center"/>
      <protection locked="0"/>
    </xf>
    <xf numFmtId="0" fontId="8" fillId="0" borderId="0" xfId="0" applyFont="1" applyAlignment="1" applyProtection="1">
      <alignment vertical="center"/>
    </xf>
    <xf numFmtId="0" fontId="0" fillId="0" borderId="0" xfId="0" applyAlignment="1">
      <alignment horizontal="left" vertical="top"/>
    </xf>
    <xf numFmtId="166" fontId="14" fillId="0" borderId="4" xfId="1" applyNumberFormat="1" applyFont="1" applyFill="1" applyBorder="1" applyAlignment="1" applyProtection="1">
      <alignment horizontal="left" vertical="center" indent="1"/>
      <protection locked="0"/>
    </xf>
    <xf numFmtId="2" fontId="15" fillId="9" borderId="11" xfId="0" applyNumberFormat="1" applyFont="1" applyFill="1" applyBorder="1" applyAlignment="1">
      <alignment vertical="center" wrapText="1"/>
    </xf>
    <xf numFmtId="2" fontId="15" fillId="9" borderId="11" xfId="0" applyNumberFormat="1" applyFont="1" applyFill="1" applyBorder="1" applyAlignment="1" applyProtection="1">
      <alignment vertical="center" wrapText="1"/>
    </xf>
    <xf numFmtId="2" fontId="32" fillId="11" borderId="23" xfId="0" applyNumberFormat="1" applyFont="1" applyFill="1" applyBorder="1" applyAlignment="1">
      <alignment horizontal="center" vertical="center" wrapText="1"/>
    </xf>
    <xf numFmtId="2" fontId="15" fillId="9" borderId="0" xfId="0" applyNumberFormat="1" applyFont="1" applyFill="1" applyBorder="1" applyAlignment="1">
      <alignment vertical="center" wrapText="1"/>
    </xf>
    <xf numFmtId="2" fontId="32" fillId="11" borderId="24" xfId="0" applyNumberFormat="1" applyFont="1" applyFill="1" applyBorder="1" applyAlignment="1">
      <alignment horizontal="center" vertical="center" wrapText="1"/>
    </xf>
    <xf numFmtId="2" fontId="32" fillId="11" borderId="27" xfId="0" applyNumberFormat="1" applyFont="1" applyFill="1" applyBorder="1" applyAlignment="1">
      <alignment horizontal="center" vertical="center" wrapText="1"/>
    </xf>
    <xf numFmtId="0" fontId="22" fillId="8" borderId="21" xfId="0" applyFont="1" applyFill="1" applyBorder="1" applyAlignment="1">
      <alignment horizontal="left" vertical="center" wrapText="1"/>
    </xf>
    <xf numFmtId="0" fontId="22" fillId="8" borderId="21" xfId="0" applyFont="1" applyFill="1" applyBorder="1" applyAlignment="1">
      <alignment horizontal="center" vertical="center" wrapText="1"/>
    </xf>
    <xf numFmtId="165" fontId="19" fillId="0" borderId="21" xfId="0" applyNumberFormat="1" applyFont="1" applyBorder="1" applyAlignment="1" applyProtection="1">
      <alignment horizontal="right" vertical="center" wrapText="1" indent="1"/>
    </xf>
    <xf numFmtId="0" fontId="8" fillId="0" borderId="14" xfId="0" applyFont="1" applyBorder="1" applyAlignment="1">
      <alignment horizontal="center" vertical="center" wrapText="1"/>
    </xf>
    <xf numFmtId="0" fontId="35" fillId="8" borderId="2" xfId="0" applyFont="1" applyFill="1" applyBorder="1" applyAlignment="1">
      <alignment horizontal="left" vertical="center" wrapText="1" indent="1"/>
    </xf>
    <xf numFmtId="0" fontId="24" fillId="0" borderId="0" xfId="0" applyFont="1" applyBorder="1" applyAlignment="1" applyProtection="1">
      <alignment horizontal="center"/>
    </xf>
    <xf numFmtId="0" fontId="22" fillId="5" borderId="19" xfId="0" applyFont="1" applyFill="1" applyBorder="1" applyAlignment="1">
      <alignment vertical="center"/>
    </xf>
    <xf numFmtId="0" fontId="20" fillId="5" borderId="19" xfId="0" applyFont="1" applyFill="1" applyBorder="1" applyAlignment="1">
      <alignment vertical="center"/>
    </xf>
    <xf numFmtId="0" fontId="0" fillId="0" borderId="17" xfId="0" applyBorder="1" applyAlignment="1">
      <alignment horizontal="left" vertical="top" wrapText="1"/>
    </xf>
    <xf numFmtId="0" fontId="22" fillId="10" borderId="18" xfId="0" applyFont="1" applyFill="1" applyBorder="1" applyAlignment="1">
      <alignment horizontal="left" vertical="center"/>
    </xf>
    <xf numFmtId="0" fontId="20" fillId="7" borderId="18" xfId="0" applyFont="1" applyFill="1" applyBorder="1" applyAlignment="1">
      <alignment horizontal="left" vertical="center"/>
    </xf>
    <xf numFmtId="0" fontId="0" fillId="0" borderId="0" xfId="0" applyBorder="1" applyAlignment="1">
      <alignment horizontal="left" vertical="top" wrapText="1"/>
    </xf>
    <xf numFmtId="0" fontId="22" fillId="7" borderId="18" xfId="0" applyFont="1" applyFill="1" applyBorder="1" applyAlignment="1">
      <alignment horizontal="left" vertical="center" wrapText="1"/>
    </xf>
    <xf numFmtId="0" fontId="0" fillId="13" borderId="0" xfId="0" applyFill="1" applyBorder="1" applyAlignment="1">
      <alignment horizontal="left" vertical="top" wrapText="1"/>
    </xf>
    <xf numFmtId="0" fontId="22" fillId="7" borderId="18" xfId="0" applyFont="1" applyFill="1" applyBorder="1" applyAlignment="1">
      <alignment horizontal="center" vertical="center" wrapText="1"/>
    </xf>
    <xf numFmtId="0" fontId="0" fillId="13" borderId="0" xfId="0" applyFill="1" applyBorder="1"/>
    <xf numFmtId="0" fontId="0" fillId="0" borderId="0" xfId="0" applyAlignment="1" applyProtection="1"/>
    <xf numFmtId="0" fontId="14" fillId="0" borderId="0" xfId="0" applyFont="1" applyFill="1" applyBorder="1" applyAlignment="1" applyProtection="1">
      <alignment horizontal="center" vertical="center"/>
    </xf>
    <xf numFmtId="0" fontId="14" fillId="0" borderId="18" xfId="0" applyFont="1" applyFill="1" applyBorder="1" applyAlignment="1" applyProtection="1">
      <alignment horizontal="center" vertical="center"/>
    </xf>
    <xf numFmtId="0" fontId="0" fillId="7" borderId="0" xfId="0" applyFill="1" applyProtection="1"/>
    <xf numFmtId="0" fontId="22" fillId="7" borderId="0"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22" fillId="10" borderId="18" xfId="0" applyFont="1" applyFill="1" applyBorder="1" applyAlignment="1" applyProtection="1">
      <alignment horizontal="left" vertical="center"/>
    </xf>
    <xf numFmtId="0" fontId="22" fillId="10" borderId="18" xfId="0" applyFont="1" applyFill="1" applyBorder="1" applyAlignment="1" applyProtection="1">
      <alignment horizontal="left" vertical="center" wrapText="1"/>
    </xf>
    <xf numFmtId="0" fontId="14" fillId="0" borderId="18" xfId="0" applyFont="1" applyFill="1" applyBorder="1" applyAlignment="1" applyProtection="1">
      <alignment horizontal="left" vertical="center" wrapText="1"/>
    </xf>
    <xf numFmtId="0" fontId="0" fillId="0" borderId="18" xfId="0" applyBorder="1" applyProtection="1"/>
    <xf numFmtId="0" fontId="22" fillId="7" borderId="18" xfId="0" applyFont="1" applyFill="1" applyBorder="1" applyAlignment="1" applyProtection="1">
      <alignment horizontal="left" vertical="center" wrapText="1"/>
    </xf>
    <xf numFmtId="0" fontId="0" fillId="0" borderId="0" xfId="0" applyBorder="1" applyAlignment="1">
      <alignment horizontal="center" vertical="center"/>
    </xf>
    <xf numFmtId="0" fontId="0" fillId="13" borderId="0" xfId="0" applyFill="1" applyBorder="1" applyAlignment="1">
      <alignment horizontal="left"/>
    </xf>
    <xf numFmtId="0" fontId="14" fillId="0" borderId="34" xfId="0" applyFont="1" applyFill="1" applyBorder="1" applyAlignment="1" applyProtection="1">
      <alignment horizontal="center" vertical="center" wrapText="1"/>
      <protection locked="0"/>
    </xf>
    <xf numFmtId="1" fontId="0" fillId="0" borderId="23" xfId="0" applyNumberFormat="1" applyFont="1" applyBorder="1" applyAlignment="1" applyProtection="1">
      <alignment horizontal="center" vertical="center"/>
      <protection locked="0"/>
    </xf>
    <xf numFmtId="1" fontId="0" fillId="0" borderId="24" xfId="0" applyNumberFormat="1" applyFont="1" applyBorder="1" applyAlignment="1" applyProtection="1">
      <alignment horizontal="center" vertical="center"/>
      <protection locked="0"/>
    </xf>
    <xf numFmtId="1" fontId="0" fillId="0" borderId="27" xfId="0" applyNumberFormat="1" applyFont="1" applyBorder="1" applyAlignment="1" applyProtection="1">
      <alignment horizontal="center" vertical="center"/>
      <protection locked="0"/>
    </xf>
    <xf numFmtId="1" fontId="0" fillId="0" borderId="25" xfId="0" applyNumberFormat="1" applyFont="1" applyBorder="1" applyAlignment="1" applyProtection="1">
      <alignment horizontal="center" vertical="center"/>
      <protection locked="0"/>
    </xf>
    <xf numFmtId="1" fontId="0" fillId="0" borderId="26" xfId="0" applyNumberFormat="1" applyFont="1" applyBorder="1" applyAlignment="1" applyProtection="1">
      <alignment horizontal="center" vertical="center"/>
      <protection locked="0"/>
    </xf>
    <xf numFmtId="1" fontId="0" fillId="0" borderId="28" xfId="0" applyNumberFormat="1" applyFont="1" applyBorder="1" applyAlignment="1" applyProtection="1">
      <alignment horizontal="center" vertical="center"/>
      <protection locked="0"/>
    </xf>
    <xf numFmtId="1" fontId="0" fillId="0" borderId="11" xfId="0" applyNumberFormat="1" applyBorder="1" applyAlignment="1" applyProtection="1">
      <alignment horizontal="center" vertical="center"/>
    </xf>
    <xf numFmtId="1" fontId="0" fillId="0" borderId="13" xfId="0" applyNumberFormat="1" applyBorder="1" applyAlignment="1" applyProtection="1">
      <alignment horizontal="center" vertical="center"/>
    </xf>
    <xf numFmtId="0" fontId="22" fillId="8" borderId="32" xfId="0" applyFont="1" applyFill="1" applyBorder="1" applyAlignment="1">
      <alignment horizontal="left" vertical="center" wrapText="1"/>
    </xf>
    <xf numFmtId="0" fontId="0" fillId="0" borderId="37" xfId="0" applyBorder="1"/>
    <xf numFmtId="0" fontId="0" fillId="0" borderId="36" xfId="0" applyFill="1" applyBorder="1"/>
    <xf numFmtId="0" fontId="8" fillId="0" borderId="4" xfId="0" applyFont="1" applyBorder="1" applyAlignment="1">
      <alignment horizontal="center" vertical="center" wrapText="1"/>
    </xf>
    <xf numFmtId="1" fontId="0" fillId="0" borderId="11" xfId="0" applyNumberFormat="1" applyBorder="1" applyAlignment="1">
      <alignment horizontal="center" vertical="center"/>
    </xf>
    <xf numFmtId="1" fontId="38" fillId="0" borderId="29" xfId="0" applyNumberFormat="1" applyFont="1" applyBorder="1" applyAlignment="1" applyProtection="1">
      <alignment horizontal="center" vertical="center"/>
      <protection locked="0"/>
    </xf>
    <xf numFmtId="1" fontId="0" fillId="0" borderId="13" xfId="0" applyNumberFormat="1" applyBorder="1" applyAlignment="1">
      <alignment horizontal="center" vertical="center"/>
    </xf>
    <xf numFmtId="1" fontId="38" fillId="0" borderId="3" xfId="0" applyNumberFormat="1" applyFont="1" applyBorder="1" applyAlignment="1" applyProtection="1">
      <alignment horizontal="center" vertical="center"/>
      <protection locked="0"/>
    </xf>
    <xf numFmtId="0" fontId="22" fillId="10" borderId="0" xfId="0" applyFont="1" applyFill="1" applyBorder="1" applyAlignment="1">
      <alignment horizontal="left" vertical="center"/>
    </xf>
    <xf numFmtId="0" fontId="22" fillId="10" borderId="0" xfId="0" applyFont="1" applyFill="1" applyBorder="1" applyAlignment="1" applyProtection="1">
      <alignment horizontal="left" vertical="center"/>
    </xf>
    <xf numFmtId="0" fontId="22" fillId="10" borderId="0" xfId="0" applyFont="1" applyFill="1" applyBorder="1" applyAlignment="1" applyProtection="1">
      <alignment horizontal="left" vertical="center" wrapText="1"/>
    </xf>
    <xf numFmtId="0" fontId="22" fillId="8" borderId="32" xfId="0" applyFont="1" applyFill="1" applyBorder="1" applyAlignment="1">
      <alignment horizontal="left" vertical="center"/>
    </xf>
    <xf numFmtId="0" fontId="22" fillId="8" borderId="32" xfId="0" applyFont="1" applyFill="1" applyBorder="1" applyAlignment="1">
      <alignment horizontal="left" vertical="top" wrapText="1"/>
    </xf>
    <xf numFmtId="0" fontId="22" fillId="8" borderId="32" xfId="0" applyFont="1" applyFill="1" applyBorder="1" applyAlignment="1">
      <alignment horizontal="center" vertical="center" wrapText="1"/>
    </xf>
    <xf numFmtId="0" fontId="3" fillId="0" borderId="31" xfId="0" applyFont="1" applyFill="1" applyBorder="1" applyAlignment="1" applyProtection="1">
      <alignment horizontal="center"/>
    </xf>
    <xf numFmtId="0" fontId="14" fillId="0" borderId="31" xfId="0" applyFont="1" applyFill="1" applyBorder="1" applyAlignment="1" applyProtection="1">
      <alignment wrapText="1"/>
      <protection locked="0"/>
    </xf>
    <xf numFmtId="0" fontId="0" fillId="0" borderId="35" xfId="0" applyFill="1" applyBorder="1"/>
    <xf numFmtId="0" fontId="3" fillId="0" borderId="38" xfId="0" applyFont="1" applyFill="1" applyBorder="1" applyAlignment="1" applyProtection="1">
      <alignment horizontal="center"/>
    </xf>
    <xf numFmtId="0" fontId="14" fillId="0" borderId="38" xfId="0" applyFont="1" applyFill="1" applyBorder="1" applyAlignment="1" applyProtection="1">
      <alignment wrapText="1"/>
      <protection locked="0"/>
    </xf>
    <xf numFmtId="0" fontId="0" fillId="0" borderId="0" xfId="0" applyAlignment="1">
      <alignment horizontal="left" vertical="top" wrapText="1"/>
    </xf>
    <xf numFmtId="0" fontId="0" fillId="0" borderId="0" xfId="0" applyAlignment="1">
      <alignment vertical="top"/>
    </xf>
    <xf numFmtId="0" fontId="0" fillId="0" borderId="42" xfId="0" applyBorder="1" applyAlignment="1">
      <alignment vertical="center"/>
    </xf>
    <xf numFmtId="0" fontId="8" fillId="14" borderId="45" xfId="0" applyFont="1" applyFill="1" applyBorder="1" applyAlignment="1">
      <alignment horizontal="center" vertical="center"/>
    </xf>
    <xf numFmtId="0" fontId="0" fillId="0" borderId="47" xfId="0" applyBorder="1"/>
    <xf numFmtId="0" fontId="0" fillId="0" borderId="48" xfId="0" applyBorder="1"/>
    <xf numFmtId="0" fontId="0" fillId="0" borderId="50" xfId="0" applyBorder="1"/>
    <xf numFmtId="0" fontId="0" fillId="0" borderId="34" xfId="0" applyBorder="1"/>
    <xf numFmtId="0" fontId="0" fillId="0" borderId="52" xfId="0" applyBorder="1"/>
    <xf numFmtId="0" fontId="8" fillId="14" borderId="44" xfId="0" applyFont="1" applyFill="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0" fillId="0" borderId="46" xfId="0" applyBorder="1" applyAlignment="1">
      <alignment vertical="center"/>
    </xf>
    <xf numFmtId="0" fontId="0" fillId="0" borderId="47"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0" xfId="0" applyBorder="1" applyAlignment="1">
      <alignment vertical="center"/>
    </xf>
    <xf numFmtId="0" fontId="0" fillId="0" borderId="50" xfId="0" applyBorder="1" applyAlignment="1">
      <alignment vertical="center"/>
    </xf>
    <xf numFmtId="0" fontId="0" fillId="0" borderId="45" xfId="0" applyBorder="1" applyAlignment="1">
      <alignment vertical="center"/>
    </xf>
    <xf numFmtId="0" fontId="0" fillId="0" borderId="43" xfId="0" applyBorder="1" applyAlignment="1">
      <alignment vertical="center"/>
    </xf>
    <xf numFmtId="0" fontId="0" fillId="0" borderId="51" xfId="0" applyBorder="1" applyAlignment="1">
      <alignment vertical="center"/>
    </xf>
    <xf numFmtId="0" fontId="0" fillId="0" borderId="34" xfId="0" applyBorder="1" applyAlignment="1">
      <alignment vertical="center"/>
    </xf>
    <xf numFmtId="0" fontId="0" fillId="0" borderId="52" xfId="0" applyBorder="1" applyAlignment="1">
      <alignment vertical="center"/>
    </xf>
    <xf numFmtId="0" fontId="0" fillId="0" borderId="0" xfId="0" applyAlignment="1">
      <alignment vertical="center" wrapText="1"/>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8" fillId="14" borderId="44" xfId="0" applyFont="1" applyFill="1" applyBorder="1" applyAlignment="1">
      <alignment vertical="center"/>
    </xf>
    <xf numFmtId="0" fontId="0" fillId="0" borderId="42" xfId="0" applyBorder="1" applyAlignment="1">
      <alignment horizontal="center" vertical="center"/>
    </xf>
    <xf numFmtId="0" fontId="0" fillId="0" borderId="45" xfId="0" applyBorder="1" applyAlignment="1">
      <alignment horizontal="center" vertical="center"/>
    </xf>
    <xf numFmtId="0" fontId="0" fillId="0" borderId="43" xfId="0" applyBorder="1" applyAlignment="1">
      <alignment horizontal="center" vertical="center"/>
    </xf>
    <xf numFmtId="0" fontId="0" fillId="14" borderId="0" xfId="0" applyFill="1"/>
    <xf numFmtId="0" fontId="0" fillId="0" borderId="46"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0" fontId="0" fillId="0" borderId="0"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0" fillId="0" borderId="34" xfId="0" applyBorder="1" applyAlignment="1">
      <alignment horizontal="center"/>
    </xf>
    <xf numFmtId="0" fontId="0" fillId="0" borderId="52" xfId="0" applyBorder="1" applyAlignment="1">
      <alignment horizontal="center"/>
    </xf>
    <xf numFmtId="0" fontId="0" fillId="0" borderId="39"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2" fontId="0" fillId="0" borderId="4" xfId="0" applyNumberFormat="1" applyBorder="1" applyAlignment="1">
      <alignment vertical="center"/>
    </xf>
    <xf numFmtId="49" fontId="0" fillId="0" borderId="0" xfId="0" applyNumberFormat="1" applyAlignment="1">
      <alignment vertical="center"/>
    </xf>
    <xf numFmtId="0" fontId="26" fillId="0" borderId="15" xfId="5" applyBorder="1" applyAlignment="1">
      <alignment vertical="center"/>
    </xf>
    <xf numFmtId="0" fontId="26" fillId="0" borderId="15" xfId="5" applyBorder="1" applyAlignment="1">
      <alignment vertical="center" wrapText="1"/>
    </xf>
    <xf numFmtId="0" fontId="0" fillId="0" borderId="0" xfId="0" applyBorder="1" applyAlignment="1">
      <alignment horizontal="right" vertical="center"/>
    </xf>
    <xf numFmtId="0" fontId="0" fillId="0" borderId="0" xfId="0" applyBorder="1" applyAlignment="1">
      <alignment vertical="center" wrapText="1"/>
    </xf>
    <xf numFmtId="0" fontId="0" fillId="0" borderId="0" xfId="0" applyAlignment="1">
      <alignment horizontal="right" vertical="center"/>
    </xf>
    <xf numFmtId="0" fontId="0" fillId="0" borderId="0" xfId="0" applyNumberFormat="1" applyAlignment="1">
      <alignment horizontal="center" vertical="center"/>
    </xf>
    <xf numFmtId="0" fontId="0" fillId="0" borderId="10" xfId="0" applyBorder="1" applyAlignment="1">
      <alignment horizontal="center" vertical="center"/>
    </xf>
    <xf numFmtId="49" fontId="0" fillId="0" borderId="0" xfId="0" applyNumberFormat="1" applyAlignment="1">
      <alignment horizontal="center" vertical="center"/>
    </xf>
    <xf numFmtId="0" fontId="26" fillId="0" borderId="15" xfId="5" applyNumberFormat="1" applyBorder="1" applyAlignment="1">
      <alignment horizontal="center" vertical="center"/>
    </xf>
    <xf numFmtId="0" fontId="28" fillId="0" borderId="16" xfId="5" applyFont="1" applyBorder="1" applyAlignment="1">
      <alignment horizontal="center" vertical="center"/>
    </xf>
    <xf numFmtId="0" fontId="28" fillId="0" borderId="15" xfId="5" applyFont="1" applyBorder="1" applyAlignment="1">
      <alignment horizontal="center" vertical="center"/>
    </xf>
    <xf numFmtId="0" fontId="27" fillId="0" borderId="16" xfId="5" applyFont="1" applyBorder="1" applyAlignment="1">
      <alignment horizontal="center" vertical="center"/>
    </xf>
    <xf numFmtId="0" fontId="27" fillId="0" borderId="10" xfId="5" applyFont="1" applyBorder="1" applyAlignment="1">
      <alignment horizontal="center" vertical="center"/>
    </xf>
    <xf numFmtId="0" fontId="0" fillId="0" borderId="0" xfId="0" applyNumberFormat="1" applyBorder="1" applyAlignment="1">
      <alignment horizontal="center" vertical="center"/>
    </xf>
    <xf numFmtId="0" fontId="40" fillId="0" borderId="0" xfId="0" applyFont="1" applyFill="1" applyBorder="1" applyAlignment="1">
      <alignment vertical="center"/>
    </xf>
    <xf numFmtId="0" fontId="0" fillId="0" borderId="0" xfId="0" applyFill="1" applyBorder="1" applyAlignment="1">
      <alignment vertical="center"/>
    </xf>
    <xf numFmtId="0" fontId="0" fillId="0" borderId="0" xfId="0" applyAlignment="1">
      <alignment horizontal="left" vertical="top" wrapText="1"/>
    </xf>
    <xf numFmtId="0" fontId="13" fillId="0" borderId="0" xfId="3" applyFont="1" applyBorder="1" applyAlignment="1">
      <alignment vertical="center" wrapText="1"/>
    </xf>
    <xf numFmtId="0" fontId="0" fillId="0" borderId="0" xfId="0" applyAlignment="1">
      <alignment vertical="top" wrapText="1"/>
    </xf>
    <xf numFmtId="0" fontId="13" fillId="0" borderId="1" xfId="1" applyFont="1" applyFill="1" applyBorder="1" applyAlignment="1" applyProtection="1">
      <alignment horizontal="left" vertical="center" wrapText="1" indent="11"/>
    </xf>
    <xf numFmtId="0" fontId="14" fillId="0" borderId="5" xfId="1" applyFont="1" applyFill="1" applyBorder="1" applyAlignment="1" applyProtection="1">
      <alignment horizontal="left" vertical="center" indent="1"/>
      <protection locked="0"/>
    </xf>
    <xf numFmtId="0" fontId="39" fillId="0" borderId="6" xfId="0" applyFont="1" applyBorder="1" applyAlignment="1" applyProtection="1">
      <alignment horizontal="left" indent="1"/>
      <protection locked="0"/>
    </xf>
    <xf numFmtId="0" fontId="18" fillId="3" borderId="5" xfId="0" applyFont="1" applyFill="1" applyBorder="1" applyAlignment="1">
      <alignment horizontal="center"/>
    </xf>
    <xf numFmtId="0" fontId="18" fillId="3" borderId="6" xfId="0" applyFont="1" applyFill="1" applyBorder="1" applyAlignment="1">
      <alignment horizontal="center"/>
    </xf>
    <xf numFmtId="0" fontId="33" fillId="0" borderId="0" xfId="0" applyFont="1" applyBorder="1" applyAlignment="1">
      <alignment horizontal="left" wrapText="1" indent="2"/>
    </xf>
    <xf numFmtId="0" fontId="34" fillId="0" borderId="0" xfId="0" applyFont="1" applyBorder="1" applyAlignment="1">
      <alignment horizontal="left" wrapText="1" indent="2"/>
    </xf>
    <xf numFmtId="0" fontId="0" fillId="0" borderId="0" xfId="0" applyFont="1" applyAlignment="1">
      <alignment horizontal="center" vertical="center" wrapText="1"/>
    </xf>
    <xf numFmtId="0" fontId="17" fillId="7" borderId="0" xfId="3" applyFont="1" applyFill="1" applyBorder="1" applyAlignment="1">
      <alignment horizontal="left" vertical="center"/>
    </xf>
    <xf numFmtId="0" fontId="8" fillId="0" borderId="0" xfId="0" applyFont="1" applyAlignment="1">
      <alignment horizontal="center"/>
    </xf>
    <xf numFmtId="0" fontId="16" fillId="0" borderId="1" xfId="0" applyFont="1" applyBorder="1" applyAlignment="1">
      <alignment horizontal="left" vertical="center" wrapText="1" indent="14"/>
    </xf>
    <xf numFmtId="0" fontId="35" fillId="8" borderId="2" xfId="0" applyFont="1" applyFill="1" applyBorder="1" applyAlignment="1">
      <alignment horizontal="left" vertical="center" wrapText="1" indent="1"/>
    </xf>
    <xf numFmtId="0" fontId="35" fillId="8" borderId="0" xfId="0" applyFont="1" applyFill="1" applyBorder="1" applyAlignment="1">
      <alignment horizontal="left" vertical="center" wrapText="1" indent="1"/>
    </xf>
    <xf numFmtId="0" fontId="17" fillId="7" borderId="0" xfId="3" applyFont="1" applyFill="1" applyBorder="1" applyAlignment="1" applyProtection="1">
      <alignment horizontal="left" vertical="center" wrapText="1"/>
    </xf>
    <xf numFmtId="0" fontId="17" fillId="8" borderId="0" xfId="3" applyFont="1" applyFill="1" applyBorder="1" applyAlignment="1" applyProtection="1">
      <alignment horizontal="left" vertical="center"/>
    </xf>
    <xf numFmtId="0" fontId="20" fillId="8" borderId="0" xfId="3" applyFont="1" applyFill="1" applyBorder="1" applyAlignment="1" applyProtection="1">
      <alignment horizontal="left" vertical="center"/>
    </xf>
    <xf numFmtId="0" fontId="8" fillId="14" borderId="39" xfId="0" applyFont="1" applyFill="1" applyBorder="1" applyAlignment="1">
      <alignment horizontal="center" vertical="center"/>
    </xf>
    <xf numFmtId="0" fontId="8" fillId="14" borderId="41" xfId="0" applyFont="1" applyFill="1" applyBorder="1" applyAlignment="1">
      <alignment horizontal="center" vertical="center"/>
    </xf>
    <xf numFmtId="0" fontId="8" fillId="14" borderId="40" xfId="0" applyFont="1" applyFill="1" applyBorder="1" applyAlignment="1">
      <alignment horizontal="center" vertical="center"/>
    </xf>
    <xf numFmtId="0" fontId="8" fillId="14" borderId="46" xfId="0" applyFont="1" applyFill="1" applyBorder="1" applyAlignment="1">
      <alignment horizontal="center" vertical="center"/>
    </xf>
    <xf numFmtId="0" fontId="8" fillId="14" borderId="47" xfId="0" applyFont="1" applyFill="1" applyBorder="1" applyAlignment="1">
      <alignment horizontal="center" vertical="center"/>
    </xf>
    <xf numFmtId="0" fontId="8" fillId="14" borderId="48" xfId="0" applyFont="1" applyFill="1" applyBorder="1" applyAlignment="1">
      <alignment horizontal="center" vertical="center"/>
    </xf>
  </cellXfs>
  <cellStyles count="6">
    <cellStyle name="Heading 1" xfId="3" builtinId="16"/>
    <cellStyle name="Heading 2" xfId="4" builtinId="17"/>
    <cellStyle name="Heading 3" xfId="5" builtinId="18"/>
    <cellStyle name="Normal" xfId="0" builtinId="0"/>
    <cellStyle name="Normal 2" xfId="1" xr:uid="{00000000-0005-0000-0000-000004000000}"/>
    <cellStyle name="Normal 3" xfId="2" xr:uid="{00000000-0005-0000-0000-000005000000}"/>
  </cellStyles>
  <dxfs count="70">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s>
  <tableStyles count="0" defaultTableStyle="TableStyleMedium2" defaultPivotStyle="PivotStyleLight16"/>
  <colors>
    <mruColors>
      <color rgb="FFE87727"/>
      <color rgb="FF638EC6"/>
      <color rgb="FFF8A6A6"/>
      <color rgb="FFF58383"/>
      <color rgb="FF00B050"/>
      <color rgb="FF3156BD"/>
      <color rgb="FF14989C"/>
      <color rgb="FF9AB0BB"/>
      <color rgb="FFB30F10"/>
      <color rgb="FF9CA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36846713772962"/>
          <c:y val="6.4422160007444024E-2"/>
          <c:w val="0.55997877307332677"/>
          <c:h val="0.63071355164240606"/>
        </c:manualLayout>
      </c:layout>
      <c:radarChart>
        <c:radarStyle val="marker"/>
        <c:varyColors val="0"/>
        <c:ser>
          <c:idx val="3"/>
          <c:order val="0"/>
          <c:spPr>
            <a:ln w="38100">
              <a:solidFill>
                <a:srgbClr val="00B050"/>
              </a:solidFill>
              <a:headEnd type="none" w="med" len="med"/>
              <a:tailEnd type="none" w="med" len="med"/>
            </a:ln>
          </c:spPr>
          <c:marker>
            <c:symbol val="circle"/>
            <c:size val="7"/>
            <c:spPr>
              <a:solidFill>
                <a:srgbClr val="00B050"/>
              </a:solidFill>
              <a:ln>
                <a:noFill/>
              </a:ln>
            </c:spPr>
          </c:marker>
          <c:cat>
            <c:strRef>
              <c:f>'Aggregated Results'!$AB$4:$AB$25</c:f>
              <c:strCache>
                <c:ptCount val="22"/>
                <c:pt idx="0">
                  <c:v>A.1 - Maintain a technical security assurance framework</c:v>
                </c:pt>
                <c:pt idx="1">
                  <c:v>A.2 - Establish a penetration testing governance structure</c:v>
                </c:pt>
                <c:pt idx="2">
                  <c:v>A.3 - Evaluate drivers for conducting penetration tests</c:v>
                </c:pt>
                <c:pt idx="3">
                  <c:v>A.4 - Identify target environments</c:v>
                </c:pt>
                <c:pt idx="4">
                  <c:v>A.5 - Define the purpose of the penetration tests</c:v>
                </c:pt>
                <c:pt idx="5">
                  <c:v>A.6 - Produce requirements specifications</c:v>
                </c:pt>
                <c:pt idx="6">
                  <c:v>A.7 - Select suitable suppliers</c:v>
                </c:pt>
                <c:pt idx="7">
                  <c:v>B.1 - Agree testing style and type</c:v>
                </c:pt>
                <c:pt idx="8">
                  <c:v>B.2 - Identify testing constraints</c:v>
                </c:pt>
                <c:pt idx="9">
                  <c:v>B.3 - Produce scope statements</c:v>
                </c:pt>
                <c:pt idx="10">
                  <c:v>B.4 - Establish a management assurance framework</c:v>
                </c:pt>
                <c:pt idx="11">
                  <c:v>B.5 - Implement management control processes</c:v>
                </c:pt>
                <c:pt idx="12">
                  <c:v>B.6 - Use an effective testing methodology</c:v>
                </c:pt>
                <c:pt idx="13">
                  <c:v>B.7 - Conduct sufficient research and planning</c:v>
                </c:pt>
                <c:pt idx="14">
                  <c:v>B.8 - Identify and exploit vulnerabilities</c:v>
                </c:pt>
                <c:pt idx="15">
                  <c:v>B.9 - Report key findings</c:v>
                </c:pt>
                <c:pt idx="16">
                  <c:v>C.1 - Remediate weaknesses</c:v>
                </c:pt>
                <c:pt idx="17">
                  <c:v>C.2 - Address root causes of weaknesses</c:v>
                </c:pt>
                <c:pt idx="18">
                  <c:v>C.3 - Initiate improvement programme</c:v>
                </c:pt>
                <c:pt idx="19">
                  <c:v>C.4 - Evaluate penetration testing effectiveness</c:v>
                </c:pt>
                <c:pt idx="20">
                  <c:v>C.5 - Build on lessons learned</c:v>
                </c:pt>
                <c:pt idx="21">
                  <c:v>C.6 - Create and monitor action plans</c:v>
                </c:pt>
              </c:strCache>
            </c:strRef>
          </c:cat>
          <c:val>
            <c:numRef>
              <c:f>'Aggregated Results'!$AH$4:$AH$25</c:f>
              <c:numCache>
                <c:formatCode>General</c:formatCode>
                <c:ptCount val="22"/>
                <c:pt idx="0">
                  <c:v>2</c:v>
                </c:pt>
                <c:pt idx="1">
                  <c:v>2</c:v>
                </c:pt>
                <c:pt idx="2">
                  <c:v>2</c:v>
                </c:pt>
                <c:pt idx="3">
                  <c:v>2</c:v>
                </c:pt>
                <c:pt idx="4">
                  <c:v>2</c:v>
                </c:pt>
                <c:pt idx="5">
                  <c:v>2</c:v>
                </c:pt>
                <c:pt idx="6">
                  <c:v>2</c:v>
                </c:pt>
              </c:numCache>
            </c:numRef>
          </c:val>
          <c:extLst xmlns:c15="http://schemas.microsoft.com/office/drawing/2012/chart">
            <c:ext xmlns:c16="http://schemas.microsoft.com/office/drawing/2014/chart" uri="{C3380CC4-5D6E-409C-BE32-E72D297353CC}">
              <c16:uniqueId val="{00000000-D2A8-49B7-94A7-95F52A180508}"/>
            </c:ext>
          </c:extLst>
        </c:ser>
        <c:ser>
          <c:idx val="4"/>
          <c:order val="1"/>
          <c:spPr>
            <a:ln w="38100">
              <a:solidFill>
                <a:srgbClr val="00B050"/>
              </a:solidFill>
              <a:headEnd type="none"/>
              <a:tailEnd type="none"/>
            </a:ln>
          </c:spPr>
          <c:marker>
            <c:symbol val="circle"/>
            <c:size val="7"/>
            <c:spPr>
              <a:solidFill>
                <a:srgbClr val="00B050"/>
              </a:solidFill>
              <a:ln>
                <a:noFill/>
              </a:ln>
            </c:spPr>
          </c:marker>
          <c:cat>
            <c:strRef>
              <c:f>'Aggregated Results'!$AB$4:$AB$25</c:f>
              <c:strCache>
                <c:ptCount val="22"/>
                <c:pt idx="0">
                  <c:v>A.1 - Maintain a technical security assurance framework</c:v>
                </c:pt>
                <c:pt idx="1">
                  <c:v>A.2 - Establish a penetration testing governance structure</c:v>
                </c:pt>
                <c:pt idx="2">
                  <c:v>A.3 - Evaluate drivers for conducting penetration tests</c:v>
                </c:pt>
                <c:pt idx="3">
                  <c:v>A.4 - Identify target environments</c:v>
                </c:pt>
                <c:pt idx="4">
                  <c:v>A.5 - Define the purpose of the penetration tests</c:v>
                </c:pt>
                <c:pt idx="5">
                  <c:v>A.6 - Produce requirements specifications</c:v>
                </c:pt>
                <c:pt idx="6">
                  <c:v>A.7 - Select suitable suppliers</c:v>
                </c:pt>
                <c:pt idx="7">
                  <c:v>B.1 - Agree testing style and type</c:v>
                </c:pt>
                <c:pt idx="8">
                  <c:v>B.2 - Identify testing constraints</c:v>
                </c:pt>
                <c:pt idx="9">
                  <c:v>B.3 - Produce scope statements</c:v>
                </c:pt>
                <c:pt idx="10">
                  <c:v>B.4 - Establish a management assurance framework</c:v>
                </c:pt>
                <c:pt idx="11">
                  <c:v>B.5 - Implement management control processes</c:v>
                </c:pt>
                <c:pt idx="12">
                  <c:v>B.6 - Use an effective testing methodology</c:v>
                </c:pt>
                <c:pt idx="13">
                  <c:v>B.7 - Conduct sufficient research and planning</c:v>
                </c:pt>
                <c:pt idx="14">
                  <c:v>B.8 - Identify and exploit vulnerabilities</c:v>
                </c:pt>
                <c:pt idx="15">
                  <c:v>B.9 - Report key findings</c:v>
                </c:pt>
                <c:pt idx="16">
                  <c:v>C.1 - Remediate weaknesses</c:v>
                </c:pt>
                <c:pt idx="17">
                  <c:v>C.2 - Address root causes of weaknesses</c:v>
                </c:pt>
                <c:pt idx="18">
                  <c:v>C.3 - Initiate improvement programme</c:v>
                </c:pt>
                <c:pt idx="19">
                  <c:v>C.4 - Evaluate penetration testing effectiveness</c:v>
                </c:pt>
                <c:pt idx="20">
                  <c:v>C.5 - Build on lessons learned</c:v>
                </c:pt>
                <c:pt idx="21">
                  <c:v>C.6 - Create and monitor action plans</c:v>
                </c:pt>
              </c:strCache>
            </c:strRef>
          </c:cat>
          <c:val>
            <c:numRef>
              <c:f>'Aggregated Results'!$AI$4:$AI$25</c:f>
              <c:numCache>
                <c:formatCode>General</c:formatCode>
                <c:ptCount val="22"/>
                <c:pt idx="7">
                  <c:v>2</c:v>
                </c:pt>
                <c:pt idx="8">
                  <c:v>2</c:v>
                </c:pt>
                <c:pt idx="9">
                  <c:v>2</c:v>
                </c:pt>
                <c:pt idx="10">
                  <c:v>2</c:v>
                </c:pt>
                <c:pt idx="11">
                  <c:v>2</c:v>
                </c:pt>
                <c:pt idx="12">
                  <c:v>2</c:v>
                </c:pt>
                <c:pt idx="13">
                  <c:v>2</c:v>
                </c:pt>
                <c:pt idx="14">
                  <c:v>2</c:v>
                </c:pt>
                <c:pt idx="15">
                  <c:v>2</c:v>
                </c:pt>
              </c:numCache>
            </c:numRef>
          </c:val>
          <c:extLst xmlns:c15="http://schemas.microsoft.com/office/drawing/2012/chart">
            <c:ext xmlns:c16="http://schemas.microsoft.com/office/drawing/2014/chart" uri="{C3380CC4-5D6E-409C-BE32-E72D297353CC}">
              <c16:uniqueId val="{00000001-D2A8-49B7-94A7-95F52A180508}"/>
            </c:ext>
          </c:extLst>
        </c:ser>
        <c:ser>
          <c:idx val="5"/>
          <c:order val="2"/>
          <c:spPr>
            <a:ln w="38100">
              <a:solidFill>
                <a:srgbClr val="00B050"/>
              </a:solidFill>
              <a:headEnd type="none"/>
              <a:tailEnd type="none"/>
            </a:ln>
          </c:spPr>
          <c:marker>
            <c:symbol val="circle"/>
            <c:size val="7"/>
            <c:spPr>
              <a:solidFill>
                <a:srgbClr val="00B050"/>
              </a:solidFill>
              <a:ln>
                <a:noFill/>
              </a:ln>
            </c:spPr>
          </c:marker>
          <c:cat>
            <c:strRef>
              <c:f>'Aggregated Results'!$AB$4:$AB$25</c:f>
              <c:strCache>
                <c:ptCount val="22"/>
                <c:pt idx="0">
                  <c:v>A.1 - Maintain a technical security assurance framework</c:v>
                </c:pt>
                <c:pt idx="1">
                  <c:v>A.2 - Establish a penetration testing governance structure</c:v>
                </c:pt>
                <c:pt idx="2">
                  <c:v>A.3 - Evaluate drivers for conducting penetration tests</c:v>
                </c:pt>
                <c:pt idx="3">
                  <c:v>A.4 - Identify target environments</c:v>
                </c:pt>
                <c:pt idx="4">
                  <c:v>A.5 - Define the purpose of the penetration tests</c:v>
                </c:pt>
                <c:pt idx="5">
                  <c:v>A.6 - Produce requirements specifications</c:v>
                </c:pt>
                <c:pt idx="6">
                  <c:v>A.7 - Select suitable suppliers</c:v>
                </c:pt>
                <c:pt idx="7">
                  <c:v>B.1 - Agree testing style and type</c:v>
                </c:pt>
                <c:pt idx="8">
                  <c:v>B.2 - Identify testing constraints</c:v>
                </c:pt>
                <c:pt idx="9">
                  <c:v>B.3 - Produce scope statements</c:v>
                </c:pt>
                <c:pt idx="10">
                  <c:v>B.4 - Establish a management assurance framework</c:v>
                </c:pt>
                <c:pt idx="11">
                  <c:v>B.5 - Implement management control processes</c:v>
                </c:pt>
                <c:pt idx="12">
                  <c:v>B.6 - Use an effective testing methodology</c:v>
                </c:pt>
                <c:pt idx="13">
                  <c:v>B.7 - Conduct sufficient research and planning</c:v>
                </c:pt>
                <c:pt idx="14">
                  <c:v>B.8 - Identify and exploit vulnerabilities</c:v>
                </c:pt>
                <c:pt idx="15">
                  <c:v>B.9 - Report key findings</c:v>
                </c:pt>
                <c:pt idx="16">
                  <c:v>C.1 - Remediate weaknesses</c:v>
                </c:pt>
                <c:pt idx="17">
                  <c:v>C.2 - Address root causes of weaknesses</c:v>
                </c:pt>
                <c:pt idx="18">
                  <c:v>C.3 - Initiate improvement programme</c:v>
                </c:pt>
                <c:pt idx="19">
                  <c:v>C.4 - Evaluate penetration testing effectiveness</c:v>
                </c:pt>
                <c:pt idx="20">
                  <c:v>C.5 - Build on lessons learned</c:v>
                </c:pt>
                <c:pt idx="21">
                  <c:v>C.6 - Create and monitor action plans</c:v>
                </c:pt>
              </c:strCache>
            </c:strRef>
          </c:cat>
          <c:val>
            <c:numRef>
              <c:f>'Aggregated Results'!$AJ$4:$AJ$25</c:f>
              <c:numCache>
                <c:formatCode>General</c:formatCode>
                <c:ptCount val="22"/>
                <c:pt idx="16">
                  <c:v>2</c:v>
                </c:pt>
                <c:pt idx="17">
                  <c:v>2</c:v>
                </c:pt>
                <c:pt idx="18">
                  <c:v>2</c:v>
                </c:pt>
                <c:pt idx="19">
                  <c:v>2</c:v>
                </c:pt>
                <c:pt idx="20">
                  <c:v>2</c:v>
                </c:pt>
                <c:pt idx="21">
                  <c:v>2</c:v>
                </c:pt>
              </c:numCache>
            </c:numRef>
          </c:val>
          <c:extLst xmlns:c15="http://schemas.microsoft.com/office/drawing/2012/chart">
            <c:ext xmlns:c16="http://schemas.microsoft.com/office/drawing/2014/chart" uri="{C3380CC4-5D6E-409C-BE32-E72D297353CC}">
              <c16:uniqueId val="{00000002-D2A8-49B7-94A7-95F52A180508}"/>
            </c:ext>
          </c:extLst>
        </c:ser>
        <c:ser>
          <c:idx val="0"/>
          <c:order val="3"/>
          <c:spPr>
            <a:ln w="38100">
              <a:solidFill>
                <a:srgbClr val="3156BD"/>
              </a:solidFill>
              <a:headEnd type="none"/>
              <a:tailEnd type="none"/>
            </a:ln>
          </c:spPr>
          <c:marker>
            <c:symbol val="circle"/>
            <c:size val="7"/>
            <c:spPr>
              <a:solidFill>
                <a:srgbClr val="3156BD"/>
              </a:solidFill>
              <a:ln>
                <a:noFill/>
              </a:ln>
            </c:spPr>
          </c:marker>
          <c:cat>
            <c:strRef>
              <c:f>'Aggregated Results'!$AB$4:$AB$25</c:f>
              <c:strCache>
                <c:ptCount val="22"/>
                <c:pt idx="0">
                  <c:v>A.1 - Maintain a technical security assurance framework</c:v>
                </c:pt>
                <c:pt idx="1">
                  <c:v>A.2 - Establish a penetration testing governance structure</c:v>
                </c:pt>
                <c:pt idx="2">
                  <c:v>A.3 - Evaluate drivers for conducting penetration tests</c:v>
                </c:pt>
                <c:pt idx="3">
                  <c:v>A.4 - Identify target environments</c:v>
                </c:pt>
                <c:pt idx="4">
                  <c:v>A.5 - Define the purpose of the penetration tests</c:v>
                </c:pt>
                <c:pt idx="5">
                  <c:v>A.6 - Produce requirements specifications</c:v>
                </c:pt>
                <c:pt idx="6">
                  <c:v>A.7 - Select suitable suppliers</c:v>
                </c:pt>
                <c:pt idx="7">
                  <c:v>B.1 - Agree testing style and type</c:v>
                </c:pt>
                <c:pt idx="8">
                  <c:v>B.2 - Identify testing constraints</c:v>
                </c:pt>
                <c:pt idx="9">
                  <c:v>B.3 - Produce scope statements</c:v>
                </c:pt>
                <c:pt idx="10">
                  <c:v>B.4 - Establish a management assurance framework</c:v>
                </c:pt>
                <c:pt idx="11">
                  <c:v>B.5 - Implement management control processes</c:v>
                </c:pt>
                <c:pt idx="12">
                  <c:v>B.6 - Use an effective testing methodology</c:v>
                </c:pt>
                <c:pt idx="13">
                  <c:v>B.7 - Conduct sufficient research and planning</c:v>
                </c:pt>
                <c:pt idx="14">
                  <c:v>B.8 - Identify and exploit vulnerabilities</c:v>
                </c:pt>
                <c:pt idx="15">
                  <c:v>B.9 - Report key findings</c:v>
                </c:pt>
                <c:pt idx="16">
                  <c:v>C.1 - Remediate weaknesses</c:v>
                </c:pt>
                <c:pt idx="17">
                  <c:v>C.2 - Address root causes of weaknesses</c:v>
                </c:pt>
                <c:pt idx="18">
                  <c:v>C.3 - Initiate improvement programme</c:v>
                </c:pt>
                <c:pt idx="19">
                  <c:v>C.4 - Evaluate penetration testing effectiveness</c:v>
                </c:pt>
                <c:pt idx="20">
                  <c:v>C.5 - Build on lessons learned</c:v>
                </c:pt>
                <c:pt idx="21">
                  <c:v>C.6 - Create and monitor action plans</c:v>
                </c:pt>
              </c:strCache>
            </c:strRef>
          </c:cat>
          <c:val>
            <c:numRef>
              <c:f>'Aggregated Results'!$AE$4:$AE$25</c:f>
              <c:numCache>
                <c:formatCode>General</c:formatCode>
                <c:ptCount val="22"/>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3-D2A8-49B7-94A7-95F52A180508}"/>
            </c:ext>
          </c:extLst>
        </c:ser>
        <c:ser>
          <c:idx val="1"/>
          <c:order val="4"/>
          <c:spPr>
            <a:ln w="38100">
              <a:solidFill>
                <a:srgbClr val="3156BD"/>
              </a:solidFill>
              <a:headEnd type="none"/>
              <a:tailEnd type="none"/>
            </a:ln>
          </c:spPr>
          <c:marker>
            <c:symbol val="circle"/>
            <c:size val="7"/>
            <c:spPr>
              <a:solidFill>
                <a:srgbClr val="3156BD"/>
              </a:solidFill>
              <a:ln>
                <a:noFill/>
              </a:ln>
            </c:spPr>
          </c:marker>
          <c:cat>
            <c:strRef>
              <c:f>'Aggregated Results'!$AB$4:$AB$25</c:f>
              <c:strCache>
                <c:ptCount val="22"/>
                <c:pt idx="0">
                  <c:v>A.1 - Maintain a technical security assurance framework</c:v>
                </c:pt>
                <c:pt idx="1">
                  <c:v>A.2 - Establish a penetration testing governance structure</c:v>
                </c:pt>
                <c:pt idx="2">
                  <c:v>A.3 - Evaluate drivers for conducting penetration tests</c:v>
                </c:pt>
                <c:pt idx="3">
                  <c:v>A.4 - Identify target environments</c:v>
                </c:pt>
                <c:pt idx="4">
                  <c:v>A.5 - Define the purpose of the penetration tests</c:v>
                </c:pt>
                <c:pt idx="5">
                  <c:v>A.6 - Produce requirements specifications</c:v>
                </c:pt>
                <c:pt idx="6">
                  <c:v>A.7 - Select suitable suppliers</c:v>
                </c:pt>
                <c:pt idx="7">
                  <c:v>B.1 - Agree testing style and type</c:v>
                </c:pt>
                <c:pt idx="8">
                  <c:v>B.2 - Identify testing constraints</c:v>
                </c:pt>
                <c:pt idx="9">
                  <c:v>B.3 - Produce scope statements</c:v>
                </c:pt>
                <c:pt idx="10">
                  <c:v>B.4 - Establish a management assurance framework</c:v>
                </c:pt>
                <c:pt idx="11">
                  <c:v>B.5 - Implement management control processes</c:v>
                </c:pt>
                <c:pt idx="12">
                  <c:v>B.6 - Use an effective testing methodology</c:v>
                </c:pt>
                <c:pt idx="13">
                  <c:v>B.7 - Conduct sufficient research and planning</c:v>
                </c:pt>
                <c:pt idx="14">
                  <c:v>B.8 - Identify and exploit vulnerabilities</c:v>
                </c:pt>
                <c:pt idx="15">
                  <c:v>B.9 - Report key findings</c:v>
                </c:pt>
                <c:pt idx="16">
                  <c:v>C.1 - Remediate weaknesses</c:v>
                </c:pt>
                <c:pt idx="17">
                  <c:v>C.2 - Address root causes of weaknesses</c:v>
                </c:pt>
                <c:pt idx="18">
                  <c:v>C.3 - Initiate improvement programme</c:v>
                </c:pt>
                <c:pt idx="19">
                  <c:v>C.4 - Evaluate penetration testing effectiveness</c:v>
                </c:pt>
                <c:pt idx="20">
                  <c:v>C.5 - Build on lessons learned</c:v>
                </c:pt>
                <c:pt idx="21">
                  <c:v>C.6 - Create and monitor action plans</c:v>
                </c:pt>
              </c:strCache>
            </c:strRef>
          </c:cat>
          <c:val>
            <c:numRef>
              <c:f>'Aggregated Results'!$AF$4:$AF$25</c:f>
              <c:numCache>
                <c:formatCode>General</c:formatCode>
                <c:ptCount val="22"/>
                <c:pt idx="7">
                  <c:v>1</c:v>
                </c:pt>
                <c:pt idx="8">
                  <c:v>1</c:v>
                </c:pt>
                <c:pt idx="9">
                  <c:v>1</c:v>
                </c:pt>
                <c:pt idx="10">
                  <c:v>1</c:v>
                </c:pt>
                <c:pt idx="11">
                  <c:v>1</c:v>
                </c:pt>
                <c:pt idx="12">
                  <c:v>1</c:v>
                </c:pt>
                <c:pt idx="13">
                  <c:v>1</c:v>
                </c:pt>
                <c:pt idx="14">
                  <c:v>1</c:v>
                </c:pt>
                <c:pt idx="15">
                  <c:v>1</c:v>
                </c:pt>
              </c:numCache>
            </c:numRef>
          </c:val>
          <c:extLst>
            <c:ext xmlns:c16="http://schemas.microsoft.com/office/drawing/2014/chart" uri="{C3380CC4-5D6E-409C-BE32-E72D297353CC}">
              <c16:uniqueId val="{00000004-D2A8-49B7-94A7-95F52A180508}"/>
            </c:ext>
          </c:extLst>
        </c:ser>
        <c:ser>
          <c:idx val="2"/>
          <c:order val="5"/>
          <c:spPr>
            <a:ln w="38100">
              <a:solidFill>
                <a:srgbClr val="3156BD"/>
              </a:solidFill>
              <a:headEnd type="none"/>
              <a:tailEnd type="none"/>
            </a:ln>
          </c:spPr>
          <c:marker>
            <c:symbol val="circle"/>
            <c:size val="7"/>
            <c:spPr>
              <a:solidFill>
                <a:srgbClr val="3156BD"/>
              </a:solidFill>
              <a:ln>
                <a:noFill/>
              </a:ln>
            </c:spPr>
          </c:marker>
          <c:cat>
            <c:strRef>
              <c:f>'Aggregated Results'!$AB$4:$AB$25</c:f>
              <c:strCache>
                <c:ptCount val="22"/>
                <c:pt idx="0">
                  <c:v>A.1 - Maintain a technical security assurance framework</c:v>
                </c:pt>
                <c:pt idx="1">
                  <c:v>A.2 - Establish a penetration testing governance structure</c:v>
                </c:pt>
                <c:pt idx="2">
                  <c:v>A.3 - Evaluate drivers for conducting penetration tests</c:v>
                </c:pt>
                <c:pt idx="3">
                  <c:v>A.4 - Identify target environments</c:v>
                </c:pt>
                <c:pt idx="4">
                  <c:v>A.5 - Define the purpose of the penetration tests</c:v>
                </c:pt>
                <c:pt idx="5">
                  <c:v>A.6 - Produce requirements specifications</c:v>
                </c:pt>
                <c:pt idx="6">
                  <c:v>A.7 - Select suitable suppliers</c:v>
                </c:pt>
                <c:pt idx="7">
                  <c:v>B.1 - Agree testing style and type</c:v>
                </c:pt>
                <c:pt idx="8">
                  <c:v>B.2 - Identify testing constraints</c:v>
                </c:pt>
                <c:pt idx="9">
                  <c:v>B.3 - Produce scope statements</c:v>
                </c:pt>
                <c:pt idx="10">
                  <c:v>B.4 - Establish a management assurance framework</c:v>
                </c:pt>
                <c:pt idx="11">
                  <c:v>B.5 - Implement management control processes</c:v>
                </c:pt>
                <c:pt idx="12">
                  <c:v>B.6 - Use an effective testing methodology</c:v>
                </c:pt>
                <c:pt idx="13">
                  <c:v>B.7 - Conduct sufficient research and planning</c:v>
                </c:pt>
                <c:pt idx="14">
                  <c:v>B.8 - Identify and exploit vulnerabilities</c:v>
                </c:pt>
                <c:pt idx="15">
                  <c:v>B.9 - Report key findings</c:v>
                </c:pt>
                <c:pt idx="16">
                  <c:v>C.1 - Remediate weaknesses</c:v>
                </c:pt>
                <c:pt idx="17">
                  <c:v>C.2 - Address root causes of weaknesses</c:v>
                </c:pt>
                <c:pt idx="18">
                  <c:v>C.3 - Initiate improvement programme</c:v>
                </c:pt>
                <c:pt idx="19">
                  <c:v>C.4 - Evaluate penetration testing effectiveness</c:v>
                </c:pt>
                <c:pt idx="20">
                  <c:v>C.5 - Build on lessons learned</c:v>
                </c:pt>
                <c:pt idx="21">
                  <c:v>C.6 - Create and monitor action plans</c:v>
                </c:pt>
              </c:strCache>
            </c:strRef>
          </c:cat>
          <c:val>
            <c:numRef>
              <c:f>'Aggregated Results'!$AG$4:$AG$25</c:f>
              <c:numCache>
                <c:formatCode>General</c:formatCode>
                <c:ptCount val="22"/>
                <c:pt idx="16">
                  <c:v>1</c:v>
                </c:pt>
                <c:pt idx="17">
                  <c:v>1</c:v>
                </c:pt>
                <c:pt idx="18">
                  <c:v>1</c:v>
                </c:pt>
                <c:pt idx="19">
                  <c:v>1</c:v>
                </c:pt>
                <c:pt idx="20">
                  <c:v>1</c:v>
                </c:pt>
                <c:pt idx="21">
                  <c:v>1</c:v>
                </c:pt>
              </c:numCache>
            </c:numRef>
          </c:val>
          <c:extLst>
            <c:ext xmlns:c16="http://schemas.microsoft.com/office/drawing/2014/chart" uri="{C3380CC4-5D6E-409C-BE32-E72D297353CC}">
              <c16:uniqueId val="{00000005-D2A8-49B7-94A7-95F52A180508}"/>
            </c:ext>
          </c:extLst>
        </c:ser>
        <c:ser>
          <c:idx val="6"/>
          <c:order val="6"/>
          <c:spPr>
            <a:ln w="38100">
              <a:solidFill>
                <a:srgbClr val="E87727"/>
              </a:solidFill>
            </a:ln>
          </c:spPr>
          <c:marker>
            <c:symbol val="circle"/>
            <c:size val="7"/>
            <c:spPr>
              <a:solidFill>
                <a:srgbClr val="E87727"/>
              </a:solidFill>
              <a:ln>
                <a:noFill/>
              </a:ln>
            </c:spPr>
          </c:marker>
          <c:cat>
            <c:strRef>
              <c:f>'Aggregated Results'!$AB$4:$AB$25</c:f>
              <c:strCache>
                <c:ptCount val="22"/>
                <c:pt idx="0">
                  <c:v>A.1 - Maintain a technical security assurance framework</c:v>
                </c:pt>
                <c:pt idx="1">
                  <c:v>A.2 - Establish a penetration testing governance structure</c:v>
                </c:pt>
                <c:pt idx="2">
                  <c:v>A.3 - Evaluate drivers for conducting penetration tests</c:v>
                </c:pt>
                <c:pt idx="3">
                  <c:v>A.4 - Identify target environments</c:v>
                </c:pt>
                <c:pt idx="4">
                  <c:v>A.5 - Define the purpose of the penetration tests</c:v>
                </c:pt>
                <c:pt idx="5">
                  <c:v>A.6 - Produce requirements specifications</c:v>
                </c:pt>
                <c:pt idx="6">
                  <c:v>A.7 - Select suitable suppliers</c:v>
                </c:pt>
                <c:pt idx="7">
                  <c:v>B.1 - Agree testing style and type</c:v>
                </c:pt>
                <c:pt idx="8">
                  <c:v>B.2 - Identify testing constraints</c:v>
                </c:pt>
                <c:pt idx="9">
                  <c:v>B.3 - Produce scope statements</c:v>
                </c:pt>
                <c:pt idx="10">
                  <c:v>B.4 - Establish a management assurance framework</c:v>
                </c:pt>
                <c:pt idx="11">
                  <c:v>B.5 - Implement management control processes</c:v>
                </c:pt>
                <c:pt idx="12">
                  <c:v>B.6 - Use an effective testing methodology</c:v>
                </c:pt>
                <c:pt idx="13">
                  <c:v>B.7 - Conduct sufficient research and planning</c:v>
                </c:pt>
                <c:pt idx="14">
                  <c:v>B.8 - Identify and exploit vulnerabilities</c:v>
                </c:pt>
                <c:pt idx="15">
                  <c:v>B.9 - Report key findings</c:v>
                </c:pt>
                <c:pt idx="16">
                  <c:v>C.1 - Remediate weaknesses</c:v>
                </c:pt>
                <c:pt idx="17">
                  <c:v>C.2 - Address root causes of weaknesses</c:v>
                </c:pt>
                <c:pt idx="18">
                  <c:v>C.3 - Initiate improvement programme</c:v>
                </c:pt>
                <c:pt idx="19">
                  <c:v>C.4 - Evaluate penetration testing effectiveness</c:v>
                </c:pt>
                <c:pt idx="20">
                  <c:v>C.5 - Build on lessons learned</c:v>
                </c:pt>
                <c:pt idx="21">
                  <c:v>C.6 - Create and monitor action plans</c:v>
                </c:pt>
              </c:strCache>
            </c:strRef>
          </c:cat>
          <c:val>
            <c:numRef>
              <c:f>'Aggregated Results'!$AK$4:$AK$25</c:f>
              <c:numCache>
                <c:formatCode>0.00</c:formatCode>
                <c:ptCount val="22"/>
                <c:pt idx="0">
                  <c:v>4</c:v>
                </c:pt>
                <c:pt idx="1">
                  <c:v>3</c:v>
                </c:pt>
                <c:pt idx="2">
                  <c:v>2</c:v>
                </c:pt>
                <c:pt idx="3">
                  <c:v>3</c:v>
                </c:pt>
                <c:pt idx="4">
                  <c:v>2</c:v>
                </c:pt>
                <c:pt idx="5">
                  <c:v>4</c:v>
                </c:pt>
                <c:pt idx="6">
                  <c:v>3</c:v>
                </c:pt>
              </c:numCache>
            </c:numRef>
          </c:val>
          <c:extLst>
            <c:ext xmlns:c16="http://schemas.microsoft.com/office/drawing/2014/chart" uri="{C3380CC4-5D6E-409C-BE32-E72D297353CC}">
              <c16:uniqueId val="{00000006-D2A8-49B7-94A7-95F52A180508}"/>
            </c:ext>
          </c:extLst>
        </c:ser>
        <c:ser>
          <c:idx val="7"/>
          <c:order val="7"/>
          <c:spPr>
            <a:ln w="38100">
              <a:solidFill>
                <a:srgbClr val="E87727"/>
              </a:solidFill>
            </a:ln>
          </c:spPr>
          <c:marker>
            <c:symbol val="circle"/>
            <c:size val="7"/>
            <c:spPr>
              <a:solidFill>
                <a:srgbClr val="E87727"/>
              </a:solidFill>
              <a:ln>
                <a:noFill/>
              </a:ln>
            </c:spPr>
          </c:marker>
          <c:cat>
            <c:strRef>
              <c:f>'Aggregated Results'!$AB$4:$AB$25</c:f>
              <c:strCache>
                <c:ptCount val="22"/>
                <c:pt idx="0">
                  <c:v>A.1 - Maintain a technical security assurance framework</c:v>
                </c:pt>
                <c:pt idx="1">
                  <c:v>A.2 - Establish a penetration testing governance structure</c:v>
                </c:pt>
                <c:pt idx="2">
                  <c:v>A.3 - Evaluate drivers for conducting penetration tests</c:v>
                </c:pt>
                <c:pt idx="3">
                  <c:v>A.4 - Identify target environments</c:v>
                </c:pt>
                <c:pt idx="4">
                  <c:v>A.5 - Define the purpose of the penetration tests</c:v>
                </c:pt>
                <c:pt idx="5">
                  <c:v>A.6 - Produce requirements specifications</c:v>
                </c:pt>
                <c:pt idx="6">
                  <c:v>A.7 - Select suitable suppliers</c:v>
                </c:pt>
                <c:pt idx="7">
                  <c:v>B.1 - Agree testing style and type</c:v>
                </c:pt>
                <c:pt idx="8">
                  <c:v>B.2 - Identify testing constraints</c:v>
                </c:pt>
                <c:pt idx="9">
                  <c:v>B.3 - Produce scope statements</c:v>
                </c:pt>
                <c:pt idx="10">
                  <c:v>B.4 - Establish a management assurance framework</c:v>
                </c:pt>
                <c:pt idx="11">
                  <c:v>B.5 - Implement management control processes</c:v>
                </c:pt>
                <c:pt idx="12">
                  <c:v>B.6 - Use an effective testing methodology</c:v>
                </c:pt>
                <c:pt idx="13">
                  <c:v>B.7 - Conduct sufficient research and planning</c:v>
                </c:pt>
                <c:pt idx="14">
                  <c:v>B.8 - Identify and exploit vulnerabilities</c:v>
                </c:pt>
                <c:pt idx="15">
                  <c:v>B.9 - Report key findings</c:v>
                </c:pt>
                <c:pt idx="16">
                  <c:v>C.1 - Remediate weaknesses</c:v>
                </c:pt>
                <c:pt idx="17">
                  <c:v>C.2 - Address root causes of weaknesses</c:v>
                </c:pt>
                <c:pt idx="18">
                  <c:v>C.3 - Initiate improvement programme</c:v>
                </c:pt>
                <c:pt idx="19">
                  <c:v>C.4 - Evaluate penetration testing effectiveness</c:v>
                </c:pt>
                <c:pt idx="20">
                  <c:v>C.5 - Build on lessons learned</c:v>
                </c:pt>
                <c:pt idx="21">
                  <c:v>C.6 - Create and monitor action plans</c:v>
                </c:pt>
              </c:strCache>
            </c:strRef>
          </c:cat>
          <c:val>
            <c:numRef>
              <c:f>'Aggregated Results'!$AL$4:$AL$25</c:f>
              <c:numCache>
                <c:formatCode>General</c:formatCode>
                <c:ptCount val="22"/>
                <c:pt idx="7" formatCode="0.00">
                  <c:v>4</c:v>
                </c:pt>
                <c:pt idx="8" formatCode="0.00">
                  <c:v>4</c:v>
                </c:pt>
                <c:pt idx="9" formatCode="0.00">
                  <c:v>4</c:v>
                </c:pt>
                <c:pt idx="10" formatCode="0.00">
                  <c:v>3</c:v>
                </c:pt>
                <c:pt idx="11" formatCode="0.00">
                  <c:v>3</c:v>
                </c:pt>
                <c:pt idx="12" formatCode="0.00">
                  <c:v>4</c:v>
                </c:pt>
                <c:pt idx="13" formatCode="0.00">
                  <c:v>5</c:v>
                </c:pt>
                <c:pt idx="14" formatCode="0.00">
                  <c:v>4</c:v>
                </c:pt>
                <c:pt idx="15" formatCode="0.00">
                  <c:v>4</c:v>
                </c:pt>
              </c:numCache>
            </c:numRef>
          </c:val>
          <c:extLst>
            <c:ext xmlns:c16="http://schemas.microsoft.com/office/drawing/2014/chart" uri="{C3380CC4-5D6E-409C-BE32-E72D297353CC}">
              <c16:uniqueId val="{00000007-D2A8-49B7-94A7-95F52A180508}"/>
            </c:ext>
          </c:extLst>
        </c:ser>
        <c:ser>
          <c:idx val="8"/>
          <c:order val="8"/>
          <c:spPr>
            <a:ln w="38100">
              <a:solidFill>
                <a:srgbClr val="E87727"/>
              </a:solidFill>
            </a:ln>
          </c:spPr>
          <c:marker>
            <c:symbol val="circle"/>
            <c:size val="7"/>
            <c:spPr>
              <a:solidFill>
                <a:srgbClr val="E87727"/>
              </a:solidFill>
              <a:ln>
                <a:noFill/>
              </a:ln>
            </c:spPr>
          </c:marker>
          <c:cat>
            <c:strRef>
              <c:f>'Aggregated Results'!$AB$4:$AB$25</c:f>
              <c:strCache>
                <c:ptCount val="22"/>
                <c:pt idx="0">
                  <c:v>A.1 - Maintain a technical security assurance framework</c:v>
                </c:pt>
                <c:pt idx="1">
                  <c:v>A.2 - Establish a penetration testing governance structure</c:v>
                </c:pt>
                <c:pt idx="2">
                  <c:v>A.3 - Evaluate drivers for conducting penetration tests</c:v>
                </c:pt>
                <c:pt idx="3">
                  <c:v>A.4 - Identify target environments</c:v>
                </c:pt>
                <c:pt idx="4">
                  <c:v>A.5 - Define the purpose of the penetration tests</c:v>
                </c:pt>
                <c:pt idx="5">
                  <c:v>A.6 - Produce requirements specifications</c:v>
                </c:pt>
                <c:pt idx="6">
                  <c:v>A.7 - Select suitable suppliers</c:v>
                </c:pt>
                <c:pt idx="7">
                  <c:v>B.1 - Agree testing style and type</c:v>
                </c:pt>
                <c:pt idx="8">
                  <c:v>B.2 - Identify testing constraints</c:v>
                </c:pt>
                <c:pt idx="9">
                  <c:v>B.3 - Produce scope statements</c:v>
                </c:pt>
                <c:pt idx="10">
                  <c:v>B.4 - Establish a management assurance framework</c:v>
                </c:pt>
                <c:pt idx="11">
                  <c:v>B.5 - Implement management control processes</c:v>
                </c:pt>
                <c:pt idx="12">
                  <c:v>B.6 - Use an effective testing methodology</c:v>
                </c:pt>
                <c:pt idx="13">
                  <c:v>B.7 - Conduct sufficient research and planning</c:v>
                </c:pt>
                <c:pt idx="14">
                  <c:v>B.8 - Identify and exploit vulnerabilities</c:v>
                </c:pt>
                <c:pt idx="15">
                  <c:v>B.9 - Report key findings</c:v>
                </c:pt>
                <c:pt idx="16">
                  <c:v>C.1 - Remediate weaknesses</c:v>
                </c:pt>
                <c:pt idx="17">
                  <c:v>C.2 - Address root causes of weaknesses</c:v>
                </c:pt>
                <c:pt idx="18">
                  <c:v>C.3 - Initiate improvement programme</c:v>
                </c:pt>
                <c:pt idx="19">
                  <c:v>C.4 - Evaluate penetration testing effectiveness</c:v>
                </c:pt>
                <c:pt idx="20">
                  <c:v>C.5 - Build on lessons learned</c:v>
                </c:pt>
                <c:pt idx="21">
                  <c:v>C.6 - Create and monitor action plans</c:v>
                </c:pt>
              </c:strCache>
            </c:strRef>
          </c:cat>
          <c:val>
            <c:numRef>
              <c:f>'Aggregated Results'!$AM$4:$AM$25</c:f>
              <c:numCache>
                <c:formatCode>General</c:formatCode>
                <c:ptCount val="22"/>
                <c:pt idx="16" formatCode="0.00">
                  <c:v>2</c:v>
                </c:pt>
                <c:pt idx="17" formatCode="0.00">
                  <c:v>2</c:v>
                </c:pt>
                <c:pt idx="18" formatCode="0.00">
                  <c:v>3</c:v>
                </c:pt>
                <c:pt idx="19" formatCode="0.00">
                  <c:v>3</c:v>
                </c:pt>
                <c:pt idx="20" formatCode="0.00">
                  <c:v>2</c:v>
                </c:pt>
                <c:pt idx="21" formatCode="0.00">
                  <c:v>3</c:v>
                </c:pt>
              </c:numCache>
            </c:numRef>
          </c:val>
          <c:extLst xmlns:c15="http://schemas.microsoft.com/office/drawing/2012/chart">
            <c:ext xmlns:c16="http://schemas.microsoft.com/office/drawing/2014/chart" uri="{C3380CC4-5D6E-409C-BE32-E72D297353CC}">
              <c16:uniqueId val="{00000008-D2A8-49B7-94A7-95F52A180508}"/>
            </c:ext>
          </c:extLst>
        </c:ser>
        <c:dLbls>
          <c:showLegendKey val="0"/>
          <c:showVal val="0"/>
          <c:showCatName val="0"/>
          <c:showSerName val="0"/>
          <c:showPercent val="0"/>
          <c:showBubbleSize val="0"/>
        </c:dLbls>
        <c:axId val="687193208"/>
        <c:axId val="687190072"/>
        <c:extLst/>
      </c:radarChart>
      <c:catAx>
        <c:axId val="687193208"/>
        <c:scaling>
          <c:orientation val="minMax"/>
        </c:scaling>
        <c:delete val="0"/>
        <c:axPos val="b"/>
        <c:majorGridlines/>
        <c:numFmt formatCode="General" sourceLinked="0"/>
        <c:majorTickMark val="out"/>
        <c:minorTickMark val="none"/>
        <c:tickLblPos val="nextTo"/>
        <c:txPr>
          <a:bodyPr/>
          <a:lstStyle/>
          <a:p>
            <a:pPr>
              <a:defRPr sz="1200" baseline="0"/>
            </a:pPr>
            <a:endParaRPr lang="en-US"/>
          </a:p>
        </c:txPr>
        <c:crossAx val="687190072"/>
        <c:crosses val="autoZero"/>
        <c:auto val="1"/>
        <c:lblAlgn val="ctr"/>
        <c:lblOffset val="100"/>
        <c:noMultiLvlLbl val="0"/>
      </c:catAx>
      <c:valAx>
        <c:axId val="687190072"/>
        <c:scaling>
          <c:orientation val="minMax"/>
          <c:max val="5"/>
          <c:min val="0"/>
        </c:scaling>
        <c:delete val="0"/>
        <c:axPos val="l"/>
        <c:majorGridlines>
          <c:spPr>
            <a:ln w="3175">
              <a:solidFill>
                <a:srgbClr val="C4C4C4"/>
              </a:solidFill>
            </a:ln>
          </c:spPr>
        </c:majorGridlines>
        <c:numFmt formatCode="0.00" sourceLinked="0"/>
        <c:majorTickMark val="cross"/>
        <c:minorTickMark val="none"/>
        <c:tickLblPos val="nextTo"/>
        <c:spPr>
          <a:ln>
            <a:solidFill>
              <a:srgbClr val="C4C4C4"/>
            </a:solidFill>
          </a:ln>
        </c:spPr>
        <c:txPr>
          <a:bodyPr/>
          <a:lstStyle/>
          <a:p>
            <a:pPr>
              <a:defRPr b="1" i="0" baseline="0"/>
            </a:pPr>
            <a:endParaRPr lang="en-US"/>
          </a:p>
        </c:txPr>
        <c:crossAx val="687193208"/>
        <c:crosses val="autoZero"/>
        <c:crossBetween val="between"/>
        <c:majorUnit val="1"/>
      </c:valAx>
    </c:plotArea>
    <c:plotVisOnly val="0"/>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12" dropStyle="combo" dx="16" fmlaLink="profile_sector" fmlaRange="sector_responses" noThreeD="1" sel="1" val="0"/>
</file>

<file path=xl/ctrlProps/ctrlProp10.xml><?xml version="1.0" encoding="utf-8"?>
<formControlPr xmlns="http://schemas.microsoft.com/office/spreadsheetml/2009/9/main" objectType="Drop" dropLines="12" dropStyle="combo" dx="16" fmlaLink="W10" fmlaRange="weighting_responses" noThreeD="1" sel="1" val="0"/>
</file>

<file path=xl/ctrlProps/ctrlProp11.xml><?xml version="1.0" encoding="utf-8"?>
<formControlPr xmlns="http://schemas.microsoft.com/office/spreadsheetml/2009/9/main" objectType="Drop" dropLines="12" dropStyle="combo" dx="16" fmlaLink="W10" fmlaRange="weighting_responses" noThreeD="1" sel="1" val="0"/>
</file>

<file path=xl/ctrlProps/ctrlProp12.xml><?xml version="1.0" encoding="utf-8"?>
<formControlPr xmlns="http://schemas.microsoft.com/office/spreadsheetml/2009/9/main" objectType="Drop" dropLines="12" dropStyle="combo" dx="16" fmlaLink="W10" fmlaRange="weighting_responses" noThreeD="1" sel="1" val="0"/>
</file>

<file path=xl/ctrlProps/ctrlProp13.xml><?xml version="1.0" encoding="utf-8"?>
<formControlPr xmlns="http://schemas.microsoft.com/office/spreadsheetml/2009/9/main" objectType="Drop" dropLines="12" dropStyle="combo" dx="16" fmlaLink="W10" fmlaRange="weighting_responses" noThreeD="1" sel="1" val="0"/>
</file>

<file path=xl/ctrlProps/ctrlProp14.xml><?xml version="1.0" encoding="utf-8"?>
<formControlPr xmlns="http://schemas.microsoft.com/office/spreadsheetml/2009/9/main" objectType="Drop" dropLines="12" dropStyle="combo" dx="16" fmlaLink="W10" fmlaRange="weighting_responses" noThreeD="1" sel="1" val="0"/>
</file>

<file path=xl/ctrlProps/ctrlProp15.xml><?xml version="1.0" encoding="utf-8"?>
<formControlPr xmlns="http://schemas.microsoft.com/office/spreadsheetml/2009/9/main" objectType="Drop" dropLines="12" dropStyle="combo" dx="16" fmlaLink="W10" fmlaRange="weighting_responses" noThreeD="1" sel="1" val="0"/>
</file>

<file path=xl/ctrlProps/ctrlProp16.xml><?xml version="1.0" encoding="utf-8"?>
<formControlPr xmlns="http://schemas.microsoft.com/office/spreadsheetml/2009/9/main" objectType="Drop" dropLines="12" dropStyle="combo" dx="16" fmlaLink="W10" fmlaRange="weighting_responses" noThreeD="1" sel="1" val="0"/>
</file>

<file path=xl/ctrlProps/ctrlProp17.xml><?xml version="1.0" encoding="utf-8"?>
<formControlPr xmlns="http://schemas.microsoft.com/office/spreadsheetml/2009/9/main" objectType="Drop" dropLines="12" dropStyle="combo" dx="16" fmlaLink="W10" fmlaRange="weighting_responses" noThreeD="1" sel="1" val="0"/>
</file>

<file path=xl/ctrlProps/ctrlProp18.xml><?xml version="1.0" encoding="utf-8"?>
<formControlPr xmlns="http://schemas.microsoft.com/office/spreadsheetml/2009/9/main" objectType="Drop" dropLines="12" dropStyle="combo" dx="16" fmlaLink="W10" fmlaRange="weighting_responses" noThreeD="1" sel="1" val="0"/>
</file>

<file path=xl/ctrlProps/ctrlProp19.xml><?xml version="1.0" encoding="utf-8"?>
<formControlPr xmlns="http://schemas.microsoft.com/office/spreadsheetml/2009/9/main" objectType="Drop" dropLines="12" dropStyle="combo" dx="16" fmlaLink="W10" fmlaRange="weighting_responses" noThreeD="1" sel="1" val="0"/>
</file>

<file path=xl/ctrlProps/ctrlProp2.xml><?xml version="1.0" encoding="utf-8"?>
<formControlPr xmlns="http://schemas.microsoft.com/office/spreadsheetml/2009/9/main" objectType="Drop" dropLines="12" dropStyle="combo" dx="16" fmlaLink="profile_size_of_business" fmlaRange="size_of_business_responses" noThreeD="1" sel="1" val="0"/>
</file>

<file path=xl/ctrlProps/ctrlProp20.xml><?xml version="1.0" encoding="utf-8"?>
<formControlPr xmlns="http://schemas.microsoft.com/office/spreadsheetml/2009/9/main" objectType="Drop" dropLines="12" dropStyle="combo" dx="16" fmlaLink="W10" fmlaRange="weighting_responses" noThreeD="1" sel="1" val="0"/>
</file>

<file path=xl/ctrlProps/ctrlProp21.xml><?xml version="1.0" encoding="utf-8"?>
<formControlPr xmlns="http://schemas.microsoft.com/office/spreadsheetml/2009/9/main" objectType="Drop" dropLines="12" dropStyle="combo" dx="16" fmlaLink="W10" fmlaRange="weighting_responses" noThreeD="1" sel="1" val="0"/>
</file>

<file path=xl/ctrlProps/ctrlProp22.xml><?xml version="1.0" encoding="utf-8"?>
<formControlPr xmlns="http://schemas.microsoft.com/office/spreadsheetml/2009/9/main" objectType="Drop" dropLines="12" dropStyle="combo" dx="16" fmlaLink="W10" fmlaRange="weighting_responses" noThreeD="1" sel="1" val="0"/>
</file>

<file path=xl/ctrlProps/ctrlProp23.xml><?xml version="1.0" encoding="utf-8"?>
<formControlPr xmlns="http://schemas.microsoft.com/office/spreadsheetml/2009/9/main" objectType="Drop" dropLines="12" dropStyle="combo" dx="16" fmlaLink="W10" fmlaRange="weighting_responses" noThreeD="1" sel="1" val="0"/>
</file>

<file path=xl/ctrlProps/ctrlProp24.xml><?xml version="1.0" encoding="utf-8"?>
<formControlPr xmlns="http://schemas.microsoft.com/office/spreadsheetml/2009/9/main" objectType="Drop" dropLines="12" dropStyle="combo" dx="16" fmlaLink="W10" fmlaRange="weighting_responses" noThreeD="1" sel="1" val="0"/>
</file>

<file path=xl/ctrlProps/ctrlProp25.xml><?xml version="1.0" encoding="utf-8"?>
<formControlPr xmlns="http://schemas.microsoft.com/office/spreadsheetml/2009/9/main" objectType="Drop" dropLines="12" dropStyle="combo" dx="16" fmlaLink="W10" fmlaRange="weighting_responses" noThreeD="1" sel="1" val="0"/>
</file>

<file path=xl/ctrlProps/ctrlProp26.xml><?xml version="1.0" encoding="utf-8"?>
<formControlPr xmlns="http://schemas.microsoft.com/office/spreadsheetml/2009/9/main" objectType="Drop" dropLines="12" dropStyle="combo" dx="16" fmlaLink="W10" fmlaRange="weighting_responses" noThreeD="1" sel="1" val="0"/>
</file>

<file path=xl/ctrlProps/ctrlProp27.xml><?xml version="1.0" encoding="utf-8"?>
<formControlPr xmlns="http://schemas.microsoft.com/office/spreadsheetml/2009/9/main" objectType="Drop" dropLines="12" dropStyle="combo" dx="16" fmlaLink="AH9" fmlaRange="maturity_response_frame" noThreeD="1" sel="1" val="0"/>
</file>

<file path=xl/ctrlProps/ctrlProp28.xml><?xml version="1.0" encoding="utf-8"?>
<formControlPr xmlns="http://schemas.microsoft.com/office/spreadsheetml/2009/9/main" objectType="Drop" dropLines="12" dropStyle="combo" dx="16" fmlaLink="AH12" fmlaRange="maturity_response_frame" noThreeD="1" sel="1" val="0"/>
</file>

<file path=xl/ctrlProps/ctrlProp29.xml><?xml version="1.0" encoding="utf-8"?>
<formControlPr xmlns="http://schemas.microsoft.com/office/spreadsheetml/2009/9/main" objectType="Drop" dropLines="12" dropStyle="combo" dx="16" fmlaLink="AH15" fmlaRange="maturity_response_frame" noThreeD="1" sel="1" val="0"/>
</file>

<file path=xl/ctrlProps/ctrlProp3.xml><?xml version="1.0" encoding="utf-8"?>
<formControlPr xmlns="http://schemas.microsoft.com/office/spreadsheetml/2009/9/main" objectType="Drop" dropLines="12" dropStyle="combo" dx="16" fmlaLink="profile_type_of_business" fmlaRange="type_of_business_responses" noThreeD="1" sel="1" val="0"/>
</file>

<file path=xl/ctrlProps/ctrlProp30.xml><?xml version="1.0" encoding="utf-8"?>
<formControlPr xmlns="http://schemas.microsoft.com/office/spreadsheetml/2009/9/main" objectType="Drop" dropLines="12" dropStyle="combo" dx="16" fmlaLink="AH18" fmlaRange="maturity_response_frame" noThreeD="1" sel="1" val="0"/>
</file>

<file path=xl/ctrlProps/ctrlProp31.xml><?xml version="1.0" encoding="utf-8"?>
<formControlPr xmlns="http://schemas.microsoft.com/office/spreadsheetml/2009/9/main" objectType="Drop" dropLines="12" dropStyle="combo" dx="16" fmlaLink="AH21" fmlaRange="maturity_response_frame" noThreeD="1" sel="1" val="0"/>
</file>

<file path=xl/ctrlProps/ctrlProp32.xml><?xml version="1.0" encoding="utf-8"?>
<formControlPr xmlns="http://schemas.microsoft.com/office/spreadsheetml/2009/9/main" objectType="Drop" dropLines="12" dropStyle="combo" dx="16" fmlaLink="AH24" fmlaRange="maturity_response_frame" noThreeD="1" sel="1" val="0"/>
</file>

<file path=xl/ctrlProps/ctrlProp33.xml><?xml version="1.0" encoding="utf-8"?>
<formControlPr xmlns="http://schemas.microsoft.com/office/spreadsheetml/2009/9/main" objectType="Drop" dropLines="12" dropStyle="combo" dx="16" fmlaLink="AH27" fmlaRange="maturity_response_frame" noThreeD="1" sel="1" val="0"/>
</file>

<file path=xl/ctrlProps/ctrlProp34.xml><?xml version="1.0" encoding="utf-8"?>
<formControlPr xmlns="http://schemas.microsoft.com/office/spreadsheetml/2009/9/main" objectType="Drop" dropLines="12" dropStyle="combo" dx="16" fmlaLink="AH9" fmlaRange="maturity_response_frame" noThreeD="1" sel="1" val="0"/>
</file>

<file path=xl/ctrlProps/ctrlProp35.xml><?xml version="1.0" encoding="utf-8"?>
<formControlPr xmlns="http://schemas.microsoft.com/office/spreadsheetml/2009/9/main" objectType="Drop" dropLines="12" dropStyle="combo" dx="16" fmlaLink="AH12" fmlaRange="maturity_response_frame" noThreeD="1" sel="1" val="0"/>
</file>

<file path=xl/ctrlProps/ctrlProp36.xml><?xml version="1.0" encoding="utf-8"?>
<formControlPr xmlns="http://schemas.microsoft.com/office/spreadsheetml/2009/9/main" objectType="Drop" dropLines="12" dropStyle="combo" dx="16" fmlaLink="AH15" fmlaRange="maturity_response_frame" noThreeD="1" sel="1" val="0"/>
</file>

<file path=xl/ctrlProps/ctrlProp37.xml><?xml version="1.0" encoding="utf-8"?>
<formControlPr xmlns="http://schemas.microsoft.com/office/spreadsheetml/2009/9/main" objectType="Drop" dropLines="12" dropStyle="combo" dx="16" fmlaLink="AH18" fmlaRange="maturity_response_frame" noThreeD="1" sel="1" val="0"/>
</file>

<file path=xl/ctrlProps/ctrlProp38.xml><?xml version="1.0" encoding="utf-8"?>
<formControlPr xmlns="http://schemas.microsoft.com/office/spreadsheetml/2009/9/main" objectType="Drop" dropLines="12" dropStyle="combo" dx="16" fmlaLink="AH22" fmlaRange="maturity_response_frame" noThreeD="1" sel="1" val="0"/>
</file>

<file path=xl/ctrlProps/ctrlProp39.xml><?xml version="1.0" encoding="utf-8"?>
<formControlPr xmlns="http://schemas.microsoft.com/office/spreadsheetml/2009/9/main" objectType="Drop" dropLines="12" dropStyle="combo" dx="16" fmlaLink="AH25" fmlaRange="maturity_response_frame" noThreeD="1" sel="1" val="0"/>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Drop" dropLines="12" dropStyle="combo" dx="16" fmlaLink="AH28" fmlaRange="maturity_response_frame" noThreeD="1" sel="1" val="0"/>
</file>

<file path=xl/ctrlProps/ctrlProp41.xml><?xml version="1.0" encoding="utf-8"?>
<formControlPr xmlns="http://schemas.microsoft.com/office/spreadsheetml/2009/9/main" objectType="Drop" dropLines="12" dropStyle="combo" dx="16" fmlaLink="AH31" fmlaRange="maturity_response_frame" noThreeD="1" sel="1" val="0"/>
</file>

<file path=xl/ctrlProps/ctrlProp42.xml><?xml version="1.0" encoding="utf-8"?>
<formControlPr xmlns="http://schemas.microsoft.com/office/spreadsheetml/2009/9/main" objectType="Drop" dropLines="12" dropStyle="combo" dx="16" fmlaLink="AH34" fmlaRange="maturity_response_frame" noThreeD="1" sel="1" val="0"/>
</file>

<file path=xl/ctrlProps/ctrlProp43.xml><?xml version="1.0" encoding="utf-8"?>
<formControlPr xmlns="http://schemas.microsoft.com/office/spreadsheetml/2009/9/main" objectType="Drop" dropLines="12" dropStyle="combo" dx="16" fmlaLink="AH9" fmlaRange="maturity_response_frame" noThreeD="1" sel="1" val="0"/>
</file>

<file path=xl/ctrlProps/ctrlProp44.xml><?xml version="1.0" encoding="utf-8"?>
<formControlPr xmlns="http://schemas.microsoft.com/office/spreadsheetml/2009/9/main" objectType="Drop" dropLines="12" dropStyle="combo" dx="16" fmlaLink="AH12" fmlaRange="maturity_response_frame" noThreeD="1" sel="1" val="0"/>
</file>

<file path=xl/ctrlProps/ctrlProp45.xml><?xml version="1.0" encoding="utf-8"?>
<formControlPr xmlns="http://schemas.microsoft.com/office/spreadsheetml/2009/9/main" objectType="Drop" dropLines="12" dropStyle="combo" dx="16" fmlaLink="AH15" fmlaRange="maturity_response_frame" noThreeD="1" sel="1" val="0"/>
</file>

<file path=xl/ctrlProps/ctrlProp46.xml><?xml version="1.0" encoding="utf-8"?>
<formControlPr xmlns="http://schemas.microsoft.com/office/spreadsheetml/2009/9/main" objectType="Drop" dropLines="12" dropStyle="combo" dx="16" fmlaLink="AH18" fmlaRange="maturity_response_frame" noThreeD="1" sel="1" val="0"/>
</file>

<file path=xl/ctrlProps/ctrlProp47.xml><?xml version="1.0" encoding="utf-8"?>
<formControlPr xmlns="http://schemas.microsoft.com/office/spreadsheetml/2009/9/main" objectType="Drop" dropLines="12" dropStyle="combo" dx="16" fmlaLink="AH21" fmlaRange="maturity_response_frame" noThreeD="1" sel="1" val="0"/>
</file>

<file path=xl/ctrlProps/ctrlProp48.xml><?xml version="1.0" encoding="utf-8"?>
<formControlPr xmlns="http://schemas.microsoft.com/office/spreadsheetml/2009/9/main" objectType="Drop" dropLines="12" dropStyle="combo" dx="16" fmlaLink="AH24" fmlaRange="maturity_response_frame" noThreeD="1" sel="1" val="0"/>
</file>

<file path=xl/ctrlProps/ctrlProp5.xml><?xml version="1.0" encoding="utf-8"?>
<formControlPr xmlns="http://schemas.microsoft.com/office/spreadsheetml/2009/9/main" objectType="Drop" dropLines="12" dropStyle="combo" dx="16" fmlaLink="W10" fmlaRange="weighting_responses" noThreeD="1" sel="1" val="0"/>
</file>

<file path=xl/ctrlProps/ctrlProp6.xml><?xml version="1.0" encoding="utf-8"?>
<formControlPr xmlns="http://schemas.microsoft.com/office/spreadsheetml/2009/9/main" objectType="Drop" dropLines="12" dropStyle="combo" dx="16" fmlaLink="W10" fmlaRange="weighting_responses" noThreeD="1" sel="1" val="0"/>
</file>

<file path=xl/ctrlProps/ctrlProp7.xml><?xml version="1.0" encoding="utf-8"?>
<formControlPr xmlns="http://schemas.microsoft.com/office/spreadsheetml/2009/9/main" objectType="Drop" dropLines="12" dropStyle="combo" dx="16" fmlaLink="W10" fmlaRange="weighting_responses" noThreeD="1" sel="1" val="0"/>
</file>

<file path=xl/ctrlProps/ctrlProp8.xml><?xml version="1.0" encoding="utf-8"?>
<formControlPr xmlns="http://schemas.microsoft.com/office/spreadsheetml/2009/9/main" objectType="Drop" dropLines="12" dropStyle="combo" dx="16" fmlaLink="W10" fmlaRange="weighting_responses" noThreeD="1" sel="1" val="0"/>
</file>

<file path=xl/ctrlProps/ctrlProp9.xml><?xml version="1.0" encoding="utf-8"?>
<formControlPr xmlns="http://schemas.microsoft.com/office/spreadsheetml/2009/9/main" objectType="Drop" dropLines="12" dropStyle="combo" dx="16" fmlaLink="W10" fmlaRange="weighting_responses" noThreeD="1" sel="1" val="0"/>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www.jerakano.com/" TargetMode="External"/><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7.emf"/><Relationship Id="rId1" Type="http://schemas.openxmlformats.org/officeDocument/2006/relationships/image" Target="../media/image8.emf"/><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xdr:col>
      <xdr:colOff>57153</xdr:colOff>
      <xdr:row>0</xdr:row>
      <xdr:rowOff>76200</xdr:rowOff>
    </xdr:from>
    <xdr:to>
      <xdr:col>2</xdr:col>
      <xdr:colOff>181137</xdr:colOff>
      <xdr:row>5</xdr:row>
      <xdr:rowOff>19321</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8" y="76200"/>
          <a:ext cx="819309"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72</xdr:row>
      <xdr:rowOff>28574</xdr:rowOff>
    </xdr:from>
    <xdr:to>
      <xdr:col>6</xdr:col>
      <xdr:colOff>457200</xdr:colOff>
      <xdr:row>74</xdr:row>
      <xdr:rowOff>19811</xdr:rowOff>
    </xdr:to>
    <xdr:pic>
      <xdr:nvPicPr>
        <xdr:cNvPr id="3" name="Picture 2">
          <a:hlinkClick xmlns:r="http://schemas.openxmlformats.org/officeDocument/2006/relationships" r:id="rId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52775" y="14001749"/>
          <a:ext cx="962025" cy="267462"/>
        </a:xfrm>
        <a:prstGeom prst="rect">
          <a:avLst/>
        </a:prstGeom>
      </xdr:spPr>
    </xdr:pic>
    <xdr:clientData/>
  </xdr:twoCellAnchor>
  <xdr:twoCellAnchor editAs="oneCell">
    <xdr:from>
      <xdr:col>1</xdr:col>
      <xdr:colOff>38100</xdr:colOff>
      <xdr:row>42</xdr:row>
      <xdr:rowOff>457200</xdr:rowOff>
    </xdr:from>
    <xdr:to>
      <xdr:col>12</xdr:col>
      <xdr:colOff>419100</xdr:colOff>
      <xdr:row>57</xdr:row>
      <xdr:rowOff>2552700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stretch>
          <a:fillRect/>
        </a:stretch>
      </xdr:blipFill>
      <xdr:spPr>
        <a:xfrm>
          <a:off x="647700" y="8905875"/>
          <a:ext cx="7086600" cy="7086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5</xdr:row>
      <xdr:rowOff>19321</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65070" y="76200"/>
          <a:ext cx="762000" cy="88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5</xdr:row>
      <xdr:rowOff>19321</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76200"/>
          <a:ext cx="7620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5</xdr:row>
      <xdr:rowOff>19321</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76200"/>
          <a:ext cx="7620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76200</xdr:rowOff>
    </xdr:from>
    <xdr:to>
      <xdr:col>2</xdr:col>
      <xdr:colOff>182625</xdr:colOff>
      <xdr:row>5</xdr:row>
      <xdr:rowOff>19321</xdr:rowOff>
    </xdr:to>
    <xdr:pic>
      <xdr:nvPicPr>
        <xdr:cNvPr id="2" name="Picture 1">
          <a:extLst>
            <a:ext uri="{FF2B5EF4-FFF2-40B4-BE49-F238E27FC236}">
              <a16:creationId xmlns:a16="http://schemas.microsoft.com/office/drawing/2014/main" id="{00000000-0008-0000-0100-000002000000}"/>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76200"/>
          <a:ext cx="8208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xdr:row>
      <xdr:rowOff>0</xdr:rowOff>
    </xdr:from>
    <xdr:to>
      <xdr:col>9</xdr:col>
      <xdr:colOff>382270</xdr:colOff>
      <xdr:row>31</xdr:row>
      <xdr:rowOff>88900</xdr:rowOff>
    </xdr:to>
    <xdr:pic>
      <xdr:nvPicPr>
        <xdr:cNvPr id="3" name="Picture 2" descr="C:\Users\Jayne\AppData\Local\Microsoft\Windows\Temporary Internet Files\Content.Word\creststep.jp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28800" y="3600450"/>
          <a:ext cx="4039870" cy="25654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276225</xdr:colOff>
      <xdr:row>0</xdr:row>
      <xdr:rowOff>76200</xdr:rowOff>
    </xdr:from>
    <xdr:to>
      <xdr:col>4</xdr:col>
      <xdr:colOff>619125</xdr:colOff>
      <xdr:row>0</xdr:row>
      <xdr:rowOff>971821</xdr:rowOff>
    </xdr:to>
    <xdr:pic>
      <xdr:nvPicPr>
        <xdr:cNvPr id="36" name="Picture 35">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76200"/>
          <a:ext cx="81915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0</xdr:colOff>
          <xdr:row>16</xdr:row>
          <xdr:rowOff>47625</xdr:rowOff>
        </xdr:from>
        <xdr:to>
          <xdr:col>6</xdr:col>
          <xdr:colOff>1123950</xdr:colOff>
          <xdr:row>16</xdr:row>
          <xdr:rowOff>266700</xdr:rowOff>
        </xdr:to>
        <xdr:sp macro="" textlink="">
          <xdr:nvSpPr>
            <xdr:cNvPr id="25640" name="Drop Down 40" hidden="1">
              <a:extLst>
                <a:ext uri="{63B3BB69-23CF-44E3-9099-C40C66FF867C}">
                  <a14:compatExt spid="_x0000_s25640"/>
                </a:ext>
                <a:ext uri="{FF2B5EF4-FFF2-40B4-BE49-F238E27FC236}">
                  <a16:creationId xmlns:a16="http://schemas.microsoft.com/office/drawing/2014/main" id="{00000000-0008-0000-0200-000028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47625</xdr:rowOff>
        </xdr:from>
        <xdr:to>
          <xdr:col>6</xdr:col>
          <xdr:colOff>1123950</xdr:colOff>
          <xdr:row>19</xdr:row>
          <xdr:rowOff>266700</xdr:rowOff>
        </xdr:to>
        <xdr:sp macro="" textlink="">
          <xdr:nvSpPr>
            <xdr:cNvPr id="25646" name="Drop Down 46" hidden="1">
              <a:extLst>
                <a:ext uri="{63B3BB69-23CF-44E3-9099-C40C66FF867C}">
                  <a14:compatExt spid="_x0000_s25646"/>
                </a:ext>
                <a:ext uri="{FF2B5EF4-FFF2-40B4-BE49-F238E27FC236}">
                  <a16:creationId xmlns:a16="http://schemas.microsoft.com/office/drawing/2014/main" id="{00000000-0008-0000-0200-00002E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47625</xdr:rowOff>
        </xdr:from>
        <xdr:to>
          <xdr:col>6</xdr:col>
          <xdr:colOff>1123950</xdr:colOff>
          <xdr:row>22</xdr:row>
          <xdr:rowOff>266700</xdr:rowOff>
        </xdr:to>
        <xdr:sp macro="" textlink="">
          <xdr:nvSpPr>
            <xdr:cNvPr id="25647" name="Drop Down 47" hidden="1">
              <a:extLst>
                <a:ext uri="{63B3BB69-23CF-44E3-9099-C40C66FF867C}">
                  <a14:compatExt spid="_x0000_s25647"/>
                </a:ext>
                <a:ext uri="{FF2B5EF4-FFF2-40B4-BE49-F238E27FC236}">
                  <a16:creationId xmlns:a16="http://schemas.microsoft.com/office/drawing/2014/main" id="{00000000-0008-0000-0200-00002F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6</xdr:col>
      <xdr:colOff>35719</xdr:colOff>
      <xdr:row>5</xdr:row>
      <xdr:rowOff>202402</xdr:rowOff>
    </xdr:from>
    <xdr:to>
      <xdr:col>6</xdr:col>
      <xdr:colOff>762000</xdr:colOff>
      <xdr:row>7</xdr:row>
      <xdr:rowOff>83339</xdr:rowOff>
    </xdr:to>
    <xdr:sp macro="" textlink="">
      <xdr:nvSpPr>
        <xdr:cNvPr id="4" name="Left Arrow 3">
          <a:extLst>
            <a:ext uri="{FF2B5EF4-FFF2-40B4-BE49-F238E27FC236}">
              <a16:creationId xmlns:a16="http://schemas.microsoft.com/office/drawing/2014/main" id="{00000000-0008-0000-0300-000004000000}"/>
            </a:ext>
          </a:extLst>
        </xdr:cNvPr>
        <xdr:cNvSpPr/>
      </xdr:nvSpPr>
      <xdr:spPr>
        <a:xfrm>
          <a:off x="7524750" y="2571746"/>
          <a:ext cx="726281" cy="642937"/>
        </a:xfrm>
        <a:prstGeom prst="leftArrow">
          <a:avLst/>
        </a:prstGeom>
        <a:gradFill>
          <a:gsLst>
            <a:gs pos="0">
              <a:schemeClr val="bg1">
                <a:lumMod val="65000"/>
              </a:schemeClr>
            </a:gs>
            <a:gs pos="39999">
              <a:schemeClr val="bg1">
                <a:lumMod val="65000"/>
              </a:schemeClr>
            </a:gs>
            <a:gs pos="70000">
              <a:schemeClr val="bg1">
                <a:lumMod val="65000"/>
              </a:schemeClr>
            </a:gs>
            <a:gs pos="100000">
              <a:schemeClr val="bg1">
                <a:lumMod val="65000"/>
              </a:schemeClr>
            </a:gs>
          </a:gsLst>
          <a:lin ang="0" scaled="0"/>
        </a:gra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3</xdr:col>
      <xdr:colOff>628651</xdr:colOff>
      <xdr:row>0</xdr:row>
      <xdr:rowOff>95250</xdr:rowOff>
    </xdr:from>
    <xdr:to>
      <xdr:col>3</xdr:col>
      <xdr:colOff>1654651</xdr:colOff>
      <xdr:row>0</xdr:row>
      <xdr:rowOff>1214850</xdr:rowOff>
    </xdr:to>
    <xdr:pic>
      <xdr:nvPicPr>
        <xdr:cNvPr id="3" name="Picture 2">
          <a:extLst>
            <a:ext uri="{FF2B5EF4-FFF2-40B4-BE49-F238E27FC236}">
              <a16:creationId xmlns:a16="http://schemas.microsoft.com/office/drawing/2014/main" id="{00000000-0008-0000-0300-000003000000}"/>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214" y="95250"/>
          <a:ext cx="1026000" cy="111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7</xdr:col>
          <xdr:colOff>9525</xdr:colOff>
          <xdr:row>4</xdr:row>
          <xdr:rowOff>19050</xdr:rowOff>
        </xdr:from>
        <xdr:to>
          <xdr:col>9</xdr:col>
          <xdr:colOff>57150</xdr:colOff>
          <xdr:row>10</xdr:row>
          <xdr:rowOff>238125</xdr:rowOff>
        </xdr:to>
        <xdr:sp macro="" textlink="">
          <xdr:nvSpPr>
            <xdr:cNvPr id="67593" name="Group Box 9" hidden="1">
              <a:extLst>
                <a:ext uri="{63B3BB69-23CF-44E3-9099-C40C66FF867C}">
                  <a14:compatExt spid="_x0000_s67593"/>
                </a:ext>
                <a:ext uri="{FF2B5EF4-FFF2-40B4-BE49-F238E27FC236}">
                  <a16:creationId xmlns:a16="http://schemas.microsoft.com/office/drawing/2014/main" id="{00000000-0008-0000-0300-000009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xdr:row>
          <xdr:rowOff>161925</xdr:rowOff>
        </xdr:from>
        <xdr:to>
          <xdr:col>8</xdr:col>
          <xdr:colOff>809625</xdr:colOff>
          <xdr:row>6</xdr:row>
          <xdr:rowOff>95250</xdr:rowOff>
        </xdr:to>
        <xdr:sp macro="" textlink="">
          <xdr:nvSpPr>
            <xdr:cNvPr id="67594" name="OptionButton1" hidden="1">
              <a:extLst>
                <a:ext uri="{63B3BB69-23CF-44E3-9099-C40C66FF867C}">
                  <a14:compatExt spid="_x0000_s67594"/>
                </a:ext>
                <a:ext uri="{FF2B5EF4-FFF2-40B4-BE49-F238E27FC236}">
                  <a16:creationId xmlns:a16="http://schemas.microsoft.com/office/drawing/2014/main" id="{00000000-0008-0000-0300-00000A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xdr:row>
          <xdr:rowOff>161925</xdr:rowOff>
        </xdr:from>
        <xdr:to>
          <xdr:col>8</xdr:col>
          <xdr:colOff>847725</xdr:colOff>
          <xdr:row>7</xdr:row>
          <xdr:rowOff>95250</xdr:rowOff>
        </xdr:to>
        <xdr:sp macro="" textlink="">
          <xdr:nvSpPr>
            <xdr:cNvPr id="67595" name="OptionButton2" hidden="1">
              <a:extLst>
                <a:ext uri="{63B3BB69-23CF-44E3-9099-C40C66FF867C}">
                  <a14:compatExt spid="_x0000_s67595"/>
                </a:ext>
                <a:ext uri="{FF2B5EF4-FFF2-40B4-BE49-F238E27FC236}">
                  <a16:creationId xmlns:a16="http://schemas.microsoft.com/office/drawing/2014/main" id="{00000000-0008-0000-0300-00000B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7</xdr:row>
          <xdr:rowOff>161925</xdr:rowOff>
        </xdr:from>
        <xdr:to>
          <xdr:col>8</xdr:col>
          <xdr:colOff>866775</xdr:colOff>
          <xdr:row>8</xdr:row>
          <xdr:rowOff>95250</xdr:rowOff>
        </xdr:to>
        <xdr:sp macro="" textlink="">
          <xdr:nvSpPr>
            <xdr:cNvPr id="67596" name="OptionButton3" hidden="1">
              <a:extLst>
                <a:ext uri="{63B3BB69-23CF-44E3-9099-C40C66FF867C}">
                  <a14:compatExt spid="_x0000_s67596"/>
                </a:ext>
                <a:ext uri="{FF2B5EF4-FFF2-40B4-BE49-F238E27FC236}">
                  <a16:creationId xmlns:a16="http://schemas.microsoft.com/office/drawing/2014/main" id="{00000000-0008-0000-0300-00000C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xdr:row>
          <xdr:rowOff>171450</xdr:rowOff>
        </xdr:from>
        <xdr:to>
          <xdr:col>8</xdr:col>
          <xdr:colOff>752475</xdr:colOff>
          <xdr:row>10</xdr:row>
          <xdr:rowOff>95250</xdr:rowOff>
        </xdr:to>
        <xdr:sp macro="" textlink="">
          <xdr:nvSpPr>
            <xdr:cNvPr id="67597" name="OptionButton4" hidden="1">
              <a:extLst>
                <a:ext uri="{63B3BB69-23CF-44E3-9099-C40C66FF867C}">
                  <a14:compatExt spid="_x0000_s67597"/>
                </a:ext>
                <a:ext uri="{FF2B5EF4-FFF2-40B4-BE49-F238E27FC236}">
                  <a16:creationId xmlns:a16="http://schemas.microsoft.com/office/drawing/2014/main" id="{00000000-0008-0000-0300-00000D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twoCellAnchor>
    <xdr:from>
      <xdr:col>9</xdr:col>
      <xdr:colOff>95250</xdr:colOff>
      <xdr:row>5</xdr:row>
      <xdr:rowOff>202402</xdr:rowOff>
    </xdr:from>
    <xdr:to>
      <xdr:col>9</xdr:col>
      <xdr:colOff>833438</xdr:colOff>
      <xdr:row>7</xdr:row>
      <xdr:rowOff>83339</xdr:rowOff>
    </xdr:to>
    <xdr:sp macro="" textlink="">
      <xdr:nvSpPr>
        <xdr:cNvPr id="10" name="Left Arrow 9">
          <a:extLst>
            <a:ext uri="{FF2B5EF4-FFF2-40B4-BE49-F238E27FC236}">
              <a16:creationId xmlns:a16="http://schemas.microsoft.com/office/drawing/2014/main" id="{00000000-0008-0000-0300-00000A000000}"/>
            </a:ext>
          </a:extLst>
        </xdr:cNvPr>
        <xdr:cNvSpPr/>
      </xdr:nvSpPr>
      <xdr:spPr>
        <a:xfrm>
          <a:off x="10060781" y="2571746"/>
          <a:ext cx="738188" cy="642937"/>
        </a:xfrm>
        <a:prstGeom prst="leftArrow">
          <a:avLst/>
        </a:prstGeom>
        <a:gradFill>
          <a:gsLst>
            <a:gs pos="0">
              <a:schemeClr val="bg1">
                <a:lumMod val="65000"/>
              </a:schemeClr>
            </a:gs>
            <a:gs pos="39999">
              <a:schemeClr val="bg1">
                <a:lumMod val="65000"/>
              </a:schemeClr>
            </a:gs>
            <a:gs pos="70000">
              <a:schemeClr val="bg1">
                <a:lumMod val="65000"/>
              </a:schemeClr>
            </a:gs>
            <a:gs pos="100000">
              <a:schemeClr val="bg1">
                <a:lumMod val="65000"/>
              </a:schemeClr>
            </a:gs>
          </a:gsLst>
          <a:lin ang="0" scaled="0"/>
        </a:gra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mc:AlternateContent xmlns:mc="http://schemas.openxmlformats.org/markup-compatibility/2006">
    <mc:Choice xmlns:a14="http://schemas.microsoft.com/office/drawing/2010/main" Requires="a14">
      <xdr:twoCellAnchor editAs="oneCell">
        <xdr:from>
          <xdr:col>7</xdr:col>
          <xdr:colOff>104775</xdr:colOff>
          <xdr:row>4</xdr:row>
          <xdr:rowOff>152400</xdr:rowOff>
        </xdr:from>
        <xdr:to>
          <xdr:col>8</xdr:col>
          <xdr:colOff>857250</xdr:colOff>
          <xdr:row>5</xdr:row>
          <xdr:rowOff>85725</xdr:rowOff>
        </xdr:to>
        <xdr:sp macro="" textlink="">
          <xdr:nvSpPr>
            <xdr:cNvPr id="67599" name="OptionButton5" hidden="1">
              <a:extLst>
                <a:ext uri="{63B3BB69-23CF-44E3-9099-C40C66FF867C}">
                  <a14:compatExt spid="_x0000_s67599"/>
                </a:ext>
                <a:ext uri="{FF2B5EF4-FFF2-40B4-BE49-F238E27FC236}">
                  <a16:creationId xmlns:a16="http://schemas.microsoft.com/office/drawing/2014/main" id="{00000000-0008-0000-0300-00000F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8</xdr:row>
          <xdr:rowOff>171450</xdr:rowOff>
        </xdr:from>
        <xdr:to>
          <xdr:col>8</xdr:col>
          <xdr:colOff>895350</xdr:colOff>
          <xdr:row>9</xdr:row>
          <xdr:rowOff>104775</xdr:rowOff>
        </xdr:to>
        <xdr:sp macro="" textlink="">
          <xdr:nvSpPr>
            <xdr:cNvPr id="67600" name="OptionButton6" hidden="1">
              <a:extLst>
                <a:ext uri="{63B3BB69-23CF-44E3-9099-C40C66FF867C}">
                  <a14:compatExt spid="_x0000_s67600"/>
                </a:ext>
                <a:ext uri="{FF2B5EF4-FFF2-40B4-BE49-F238E27FC236}">
                  <a16:creationId xmlns:a16="http://schemas.microsoft.com/office/drawing/2014/main" id="{00000000-0008-0000-0300-000010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5</xdr:row>
      <xdr:rowOff>19321</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76200"/>
          <a:ext cx="7620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428625</xdr:colOff>
          <xdr:row>9</xdr:row>
          <xdr:rowOff>85725</xdr:rowOff>
        </xdr:from>
        <xdr:to>
          <xdr:col>6</xdr:col>
          <xdr:colOff>933450</xdr:colOff>
          <xdr:row>9</xdr:row>
          <xdr:rowOff>304800</xdr:rowOff>
        </xdr:to>
        <xdr:sp macro="" textlink="">
          <xdr:nvSpPr>
            <xdr:cNvPr id="79921" name="Drop Down 1073" hidden="1">
              <a:extLst>
                <a:ext uri="{63B3BB69-23CF-44E3-9099-C40C66FF867C}">
                  <a14:compatExt spid="_x0000_s79921"/>
                </a:ext>
                <a:ext uri="{FF2B5EF4-FFF2-40B4-BE49-F238E27FC236}">
                  <a16:creationId xmlns:a16="http://schemas.microsoft.com/office/drawing/2014/main" id="{00000000-0008-0000-0400-00003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twoCellAnchor editAs="oneCell">
    <xdr:from>
      <xdr:col>5</xdr:col>
      <xdr:colOff>2571750</xdr:colOff>
      <xdr:row>3</xdr:row>
      <xdr:rowOff>38100</xdr:rowOff>
    </xdr:from>
    <xdr:to>
      <xdr:col>6</xdr:col>
      <xdr:colOff>163829</xdr:colOff>
      <xdr:row>7</xdr:row>
      <xdr:rowOff>361950</xdr:rowOff>
    </xdr:to>
    <xdr:pic>
      <xdr:nvPicPr>
        <xdr:cNvPr id="531" name="Picture 530">
          <a:extLst>
            <a:ext uri="{FF2B5EF4-FFF2-40B4-BE49-F238E27FC236}">
              <a16:creationId xmlns:a16="http://schemas.microsoft.com/office/drawing/2014/main" id="{00000000-0008-0000-0400-00001302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29075" y="609600"/>
          <a:ext cx="2087879" cy="13049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428625</xdr:colOff>
          <xdr:row>12</xdr:row>
          <xdr:rowOff>85725</xdr:rowOff>
        </xdr:from>
        <xdr:to>
          <xdr:col>6</xdr:col>
          <xdr:colOff>933450</xdr:colOff>
          <xdr:row>12</xdr:row>
          <xdr:rowOff>304800</xdr:rowOff>
        </xdr:to>
        <xdr:sp macro="" textlink="">
          <xdr:nvSpPr>
            <xdr:cNvPr id="112596" name="Drop Down 3028" hidden="1">
              <a:extLst>
                <a:ext uri="{63B3BB69-23CF-44E3-9099-C40C66FF867C}">
                  <a14:compatExt spid="_x0000_s112596"/>
                </a:ext>
                <a:ext uri="{FF2B5EF4-FFF2-40B4-BE49-F238E27FC236}">
                  <a16:creationId xmlns:a16="http://schemas.microsoft.com/office/drawing/2014/main" id="{00000000-0008-0000-0400-0000D4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15</xdr:row>
          <xdr:rowOff>85725</xdr:rowOff>
        </xdr:from>
        <xdr:to>
          <xdr:col>6</xdr:col>
          <xdr:colOff>933450</xdr:colOff>
          <xdr:row>15</xdr:row>
          <xdr:rowOff>304800</xdr:rowOff>
        </xdr:to>
        <xdr:sp macro="" textlink="">
          <xdr:nvSpPr>
            <xdr:cNvPr id="112597" name="Drop Down 3029" hidden="1">
              <a:extLst>
                <a:ext uri="{63B3BB69-23CF-44E3-9099-C40C66FF867C}">
                  <a14:compatExt spid="_x0000_s112597"/>
                </a:ext>
                <a:ext uri="{FF2B5EF4-FFF2-40B4-BE49-F238E27FC236}">
                  <a16:creationId xmlns:a16="http://schemas.microsoft.com/office/drawing/2014/main" id="{00000000-0008-0000-0400-0000D5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18</xdr:row>
          <xdr:rowOff>85725</xdr:rowOff>
        </xdr:from>
        <xdr:to>
          <xdr:col>6</xdr:col>
          <xdr:colOff>933450</xdr:colOff>
          <xdr:row>18</xdr:row>
          <xdr:rowOff>304800</xdr:rowOff>
        </xdr:to>
        <xdr:sp macro="" textlink="">
          <xdr:nvSpPr>
            <xdr:cNvPr id="112598" name="Drop Down 3030" hidden="1">
              <a:extLst>
                <a:ext uri="{63B3BB69-23CF-44E3-9099-C40C66FF867C}">
                  <a14:compatExt spid="_x0000_s112598"/>
                </a:ext>
                <a:ext uri="{FF2B5EF4-FFF2-40B4-BE49-F238E27FC236}">
                  <a16:creationId xmlns:a16="http://schemas.microsoft.com/office/drawing/2014/main" id="{00000000-0008-0000-0400-0000D6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21</xdr:row>
          <xdr:rowOff>85725</xdr:rowOff>
        </xdr:from>
        <xdr:to>
          <xdr:col>6</xdr:col>
          <xdr:colOff>933450</xdr:colOff>
          <xdr:row>21</xdr:row>
          <xdr:rowOff>304800</xdr:rowOff>
        </xdr:to>
        <xdr:sp macro="" textlink="">
          <xdr:nvSpPr>
            <xdr:cNvPr id="112599" name="Drop Down 3031" hidden="1">
              <a:extLst>
                <a:ext uri="{63B3BB69-23CF-44E3-9099-C40C66FF867C}">
                  <a14:compatExt spid="_x0000_s112599"/>
                </a:ext>
                <a:ext uri="{FF2B5EF4-FFF2-40B4-BE49-F238E27FC236}">
                  <a16:creationId xmlns:a16="http://schemas.microsoft.com/office/drawing/2014/main" id="{00000000-0008-0000-0400-0000D7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24</xdr:row>
          <xdr:rowOff>85725</xdr:rowOff>
        </xdr:from>
        <xdr:to>
          <xdr:col>6</xdr:col>
          <xdr:colOff>933450</xdr:colOff>
          <xdr:row>24</xdr:row>
          <xdr:rowOff>304800</xdr:rowOff>
        </xdr:to>
        <xdr:sp macro="" textlink="">
          <xdr:nvSpPr>
            <xdr:cNvPr id="112600" name="Drop Down 3032" hidden="1">
              <a:extLst>
                <a:ext uri="{63B3BB69-23CF-44E3-9099-C40C66FF867C}">
                  <a14:compatExt spid="_x0000_s112600"/>
                </a:ext>
                <a:ext uri="{FF2B5EF4-FFF2-40B4-BE49-F238E27FC236}">
                  <a16:creationId xmlns:a16="http://schemas.microsoft.com/office/drawing/2014/main" id="{00000000-0008-0000-0400-0000D8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27</xdr:row>
          <xdr:rowOff>85725</xdr:rowOff>
        </xdr:from>
        <xdr:to>
          <xdr:col>6</xdr:col>
          <xdr:colOff>933450</xdr:colOff>
          <xdr:row>27</xdr:row>
          <xdr:rowOff>304800</xdr:rowOff>
        </xdr:to>
        <xdr:sp macro="" textlink="">
          <xdr:nvSpPr>
            <xdr:cNvPr id="112601" name="Drop Down 3033" hidden="1">
              <a:extLst>
                <a:ext uri="{63B3BB69-23CF-44E3-9099-C40C66FF867C}">
                  <a14:compatExt spid="_x0000_s112601"/>
                </a:ext>
                <a:ext uri="{FF2B5EF4-FFF2-40B4-BE49-F238E27FC236}">
                  <a16:creationId xmlns:a16="http://schemas.microsoft.com/office/drawing/2014/main" id="{00000000-0008-0000-0400-0000D9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31</xdr:row>
          <xdr:rowOff>85725</xdr:rowOff>
        </xdr:from>
        <xdr:to>
          <xdr:col>6</xdr:col>
          <xdr:colOff>933450</xdr:colOff>
          <xdr:row>31</xdr:row>
          <xdr:rowOff>304800</xdr:rowOff>
        </xdr:to>
        <xdr:sp macro="" textlink="">
          <xdr:nvSpPr>
            <xdr:cNvPr id="112602" name="Drop Down 3034" hidden="1">
              <a:extLst>
                <a:ext uri="{63B3BB69-23CF-44E3-9099-C40C66FF867C}">
                  <a14:compatExt spid="_x0000_s112602"/>
                </a:ext>
                <a:ext uri="{FF2B5EF4-FFF2-40B4-BE49-F238E27FC236}">
                  <a16:creationId xmlns:a16="http://schemas.microsoft.com/office/drawing/2014/main" id="{00000000-0008-0000-0400-0000DA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34</xdr:row>
          <xdr:rowOff>85725</xdr:rowOff>
        </xdr:from>
        <xdr:to>
          <xdr:col>6</xdr:col>
          <xdr:colOff>933450</xdr:colOff>
          <xdr:row>34</xdr:row>
          <xdr:rowOff>304800</xdr:rowOff>
        </xdr:to>
        <xdr:sp macro="" textlink="">
          <xdr:nvSpPr>
            <xdr:cNvPr id="112603" name="Drop Down 3035" hidden="1">
              <a:extLst>
                <a:ext uri="{63B3BB69-23CF-44E3-9099-C40C66FF867C}">
                  <a14:compatExt spid="_x0000_s112603"/>
                </a:ext>
                <a:ext uri="{FF2B5EF4-FFF2-40B4-BE49-F238E27FC236}">
                  <a16:creationId xmlns:a16="http://schemas.microsoft.com/office/drawing/2014/main" id="{00000000-0008-0000-0400-0000DB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37</xdr:row>
          <xdr:rowOff>85725</xdr:rowOff>
        </xdr:from>
        <xdr:to>
          <xdr:col>6</xdr:col>
          <xdr:colOff>933450</xdr:colOff>
          <xdr:row>37</xdr:row>
          <xdr:rowOff>304800</xdr:rowOff>
        </xdr:to>
        <xdr:sp macro="" textlink="">
          <xdr:nvSpPr>
            <xdr:cNvPr id="112604" name="Drop Down 3036" hidden="1">
              <a:extLst>
                <a:ext uri="{63B3BB69-23CF-44E3-9099-C40C66FF867C}">
                  <a14:compatExt spid="_x0000_s112604"/>
                </a:ext>
                <a:ext uri="{FF2B5EF4-FFF2-40B4-BE49-F238E27FC236}">
                  <a16:creationId xmlns:a16="http://schemas.microsoft.com/office/drawing/2014/main" id="{00000000-0008-0000-0400-0000DC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xdr:row>
          <xdr:rowOff>85725</xdr:rowOff>
        </xdr:from>
        <xdr:to>
          <xdr:col>6</xdr:col>
          <xdr:colOff>933450</xdr:colOff>
          <xdr:row>40</xdr:row>
          <xdr:rowOff>304800</xdr:rowOff>
        </xdr:to>
        <xdr:sp macro="" textlink="">
          <xdr:nvSpPr>
            <xdr:cNvPr id="112605" name="Drop Down 3037" hidden="1">
              <a:extLst>
                <a:ext uri="{63B3BB69-23CF-44E3-9099-C40C66FF867C}">
                  <a14:compatExt spid="_x0000_s112605"/>
                </a:ext>
                <a:ext uri="{FF2B5EF4-FFF2-40B4-BE49-F238E27FC236}">
                  <a16:creationId xmlns:a16="http://schemas.microsoft.com/office/drawing/2014/main" id="{00000000-0008-0000-0400-0000DD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44</xdr:row>
          <xdr:rowOff>85725</xdr:rowOff>
        </xdr:from>
        <xdr:to>
          <xdr:col>6</xdr:col>
          <xdr:colOff>933450</xdr:colOff>
          <xdr:row>44</xdr:row>
          <xdr:rowOff>304800</xdr:rowOff>
        </xdr:to>
        <xdr:sp macro="" textlink="">
          <xdr:nvSpPr>
            <xdr:cNvPr id="112606" name="Drop Down 3038" hidden="1">
              <a:extLst>
                <a:ext uri="{63B3BB69-23CF-44E3-9099-C40C66FF867C}">
                  <a14:compatExt spid="_x0000_s112606"/>
                </a:ext>
                <a:ext uri="{FF2B5EF4-FFF2-40B4-BE49-F238E27FC236}">
                  <a16:creationId xmlns:a16="http://schemas.microsoft.com/office/drawing/2014/main" id="{00000000-0008-0000-0400-0000DE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47</xdr:row>
          <xdr:rowOff>85725</xdr:rowOff>
        </xdr:from>
        <xdr:to>
          <xdr:col>6</xdr:col>
          <xdr:colOff>933450</xdr:colOff>
          <xdr:row>47</xdr:row>
          <xdr:rowOff>304800</xdr:rowOff>
        </xdr:to>
        <xdr:sp macro="" textlink="">
          <xdr:nvSpPr>
            <xdr:cNvPr id="112607" name="Drop Down 3039" hidden="1">
              <a:extLst>
                <a:ext uri="{63B3BB69-23CF-44E3-9099-C40C66FF867C}">
                  <a14:compatExt spid="_x0000_s112607"/>
                </a:ext>
                <a:ext uri="{FF2B5EF4-FFF2-40B4-BE49-F238E27FC236}">
                  <a16:creationId xmlns:a16="http://schemas.microsoft.com/office/drawing/2014/main" id="{00000000-0008-0000-0400-0000DF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xdr:row>
          <xdr:rowOff>85725</xdr:rowOff>
        </xdr:from>
        <xdr:to>
          <xdr:col>6</xdr:col>
          <xdr:colOff>933450</xdr:colOff>
          <xdr:row>50</xdr:row>
          <xdr:rowOff>304800</xdr:rowOff>
        </xdr:to>
        <xdr:sp macro="" textlink="">
          <xdr:nvSpPr>
            <xdr:cNvPr id="112608" name="Drop Down 3040" hidden="1">
              <a:extLst>
                <a:ext uri="{63B3BB69-23CF-44E3-9099-C40C66FF867C}">
                  <a14:compatExt spid="_x0000_s112608"/>
                </a:ext>
                <a:ext uri="{FF2B5EF4-FFF2-40B4-BE49-F238E27FC236}">
                  <a16:creationId xmlns:a16="http://schemas.microsoft.com/office/drawing/2014/main" id="{00000000-0008-0000-0400-0000E0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53</xdr:row>
          <xdr:rowOff>85725</xdr:rowOff>
        </xdr:from>
        <xdr:to>
          <xdr:col>6</xdr:col>
          <xdr:colOff>933450</xdr:colOff>
          <xdr:row>53</xdr:row>
          <xdr:rowOff>304800</xdr:rowOff>
        </xdr:to>
        <xdr:sp macro="" textlink="">
          <xdr:nvSpPr>
            <xdr:cNvPr id="112609" name="Drop Down 3041" hidden="1">
              <a:extLst>
                <a:ext uri="{63B3BB69-23CF-44E3-9099-C40C66FF867C}">
                  <a14:compatExt spid="_x0000_s112609"/>
                </a:ext>
                <a:ext uri="{FF2B5EF4-FFF2-40B4-BE49-F238E27FC236}">
                  <a16:creationId xmlns:a16="http://schemas.microsoft.com/office/drawing/2014/main" id="{00000000-0008-0000-0400-0000E1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xdr:row>
          <xdr:rowOff>85725</xdr:rowOff>
        </xdr:from>
        <xdr:to>
          <xdr:col>6</xdr:col>
          <xdr:colOff>933450</xdr:colOff>
          <xdr:row>56</xdr:row>
          <xdr:rowOff>304800</xdr:rowOff>
        </xdr:to>
        <xdr:sp macro="" textlink="">
          <xdr:nvSpPr>
            <xdr:cNvPr id="112610" name="Drop Down 3042" hidden="1">
              <a:extLst>
                <a:ext uri="{63B3BB69-23CF-44E3-9099-C40C66FF867C}">
                  <a14:compatExt spid="_x0000_s112610"/>
                </a:ext>
                <a:ext uri="{FF2B5EF4-FFF2-40B4-BE49-F238E27FC236}">
                  <a16:creationId xmlns:a16="http://schemas.microsoft.com/office/drawing/2014/main" id="{00000000-0008-0000-0400-0000E2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60</xdr:row>
          <xdr:rowOff>85725</xdr:rowOff>
        </xdr:from>
        <xdr:to>
          <xdr:col>6</xdr:col>
          <xdr:colOff>933450</xdr:colOff>
          <xdr:row>60</xdr:row>
          <xdr:rowOff>304800</xdr:rowOff>
        </xdr:to>
        <xdr:sp macro="" textlink="">
          <xdr:nvSpPr>
            <xdr:cNvPr id="112611" name="Drop Down 3043" hidden="1">
              <a:extLst>
                <a:ext uri="{63B3BB69-23CF-44E3-9099-C40C66FF867C}">
                  <a14:compatExt spid="_x0000_s112611"/>
                </a:ext>
                <a:ext uri="{FF2B5EF4-FFF2-40B4-BE49-F238E27FC236}">
                  <a16:creationId xmlns:a16="http://schemas.microsoft.com/office/drawing/2014/main" id="{00000000-0008-0000-0400-0000E3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xdr:row>
          <xdr:rowOff>85725</xdr:rowOff>
        </xdr:from>
        <xdr:to>
          <xdr:col>6</xdr:col>
          <xdr:colOff>933450</xdr:colOff>
          <xdr:row>63</xdr:row>
          <xdr:rowOff>304800</xdr:rowOff>
        </xdr:to>
        <xdr:sp macro="" textlink="">
          <xdr:nvSpPr>
            <xdr:cNvPr id="112612" name="Drop Down 3044" hidden="1">
              <a:extLst>
                <a:ext uri="{63B3BB69-23CF-44E3-9099-C40C66FF867C}">
                  <a14:compatExt spid="_x0000_s112612"/>
                </a:ext>
                <a:ext uri="{FF2B5EF4-FFF2-40B4-BE49-F238E27FC236}">
                  <a16:creationId xmlns:a16="http://schemas.microsoft.com/office/drawing/2014/main" id="{00000000-0008-0000-0400-0000E4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66</xdr:row>
          <xdr:rowOff>85725</xdr:rowOff>
        </xdr:from>
        <xdr:to>
          <xdr:col>6</xdr:col>
          <xdr:colOff>933450</xdr:colOff>
          <xdr:row>66</xdr:row>
          <xdr:rowOff>304800</xdr:rowOff>
        </xdr:to>
        <xdr:sp macro="" textlink="">
          <xdr:nvSpPr>
            <xdr:cNvPr id="112613" name="Drop Down 3045" hidden="1">
              <a:extLst>
                <a:ext uri="{63B3BB69-23CF-44E3-9099-C40C66FF867C}">
                  <a14:compatExt spid="_x0000_s112613"/>
                </a:ext>
                <a:ext uri="{FF2B5EF4-FFF2-40B4-BE49-F238E27FC236}">
                  <a16:creationId xmlns:a16="http://schemas.microsoft.com/office/drawing/2014/main" id="{00000000-0008-0000-0400-0000E5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69</xdr:row>
          <xdr:rowOff>85725</xdr:rowOff>
        </xdr:from>
        <xdr:to>
          <xdr:col>6</xdr:col>
          <xdr:colOff>933450</xdr:colOff>
          <xdr:row>69</xdr:row>
          <xdr:rowOff>304800</xdr:rowOff>
        </xdr:to>
        <xdr:sp macro="" textlink="">
          <xdr:nvSpPr>
            <xdr:cNvPr id="112614" name="Drop Down 3046" hidden="1">
              <a:extLst>
                <a:ext uri="{63B3BB69-23CF-44E3-9099-C40C66FF867C}">
                  <a14:compatExt spid="_x0000_s112614"/>
                </a:ext>
                <a:ext uri="{FF2B5EF4-FFF2-40B4-BE49-F238E27FC236}">
                  <a16:creationId xmlns:a16="http://schemas.microsoft.com/office/drawing/2014/main" id="{00000000-0008-0000-0400-0000E6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72</xdr:row>
          <xdr:rowOff>85725</xdr:rowOff>
        </xdr:from>
        <xdr:to>
          <xdr:col>6</xdr:col>
          <xdr:colOff>933450</xdr:colOff>
          <xdr:row>72</xdr:row>
          <xdr:rowOff>304800</xdr:rowOff>
        </xdr:to>
        <xdr:sp macro="" textlink="">
          <xdr:nvSpPr>
            <xdr:cNvPr id="112615" name="Drop Down 3047" hidden="1">
              <a:extLst>
                <a:ext uri="{63B3BB69-23CF-44E3-9099-C40C66FF867C}">
                  <a14:compatExt spid="_x0000_s112615"/>
                </a:ext>
                <a:ext uri="{FF2B5EF4-FFF2-40B4-BE49-F238E27FC236}">
                  <a16:creationId xmlns:a16="http://schemas.microsoft.com/office/drawing/2014/main" id="{00000000-0008-0000-0400-0000E7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75</xdr:row>
          <xdr:rowOff>85725</xdr:rowOff>
        </xdr:from>
        <xdr:to>
          <xdr:col>6</xdr:col>
          <xdr:colOff>933450</xdr:colOff>
          <xdr:row>75</xdr:row>
          <xdr:rowOff>304800</xdr:rowOff>
        </xdr:to>
        <xdr:sp macro="" textlink="">
          <xdr:nvSpPr>
            <xdr:cNvPr id="112616" name="Drop Down 3048" hidden="1">
              <a:extLst>
                <a:ext uri="{63B3BB69-23CF-44E3-9099-C40C66FF867C}">
                  <a14:compatExt spid="_x0000_s112616"/>
                </a:ext>
                <a:ext uri="{FF2B5EF4-FFF2-40B4-BE49-F238E27FC236}">
                  <a16:creationId xmlns:a16="http://schemas.microsoft.com/office/drawing/2014/main" id="{00000000-0008-0000-0400-0000E8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95248</xdr:rowOff>
    </xdr:from>
    <xdr:to>
      <xdr:col>3</xdr:col>
      <xdr:colOff>1026000</xdr:colOff>
      <xdr:row>0</xdr:row>
      <xdr:rowOff>1214848</xdr:rowOff>
    </xdr:to>
    <xdr:pic>
      <xdr:nvPicPr>
        <xdr:cNvPr id="2" name="Picture 1">
          <a:extLst>
            <a:ext uri="{FF2B5EF4-FFF2-40B4-BE49-F238E27FC236}">
              <a16:creationId xmlns:a16="http://schemas.microsoft.com/office/drawing/2014/main" id="{00000000-0008-0000-0500-000002000000}"/>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9563" y="95248"/>
          <a:ext cx="1026000" cy="111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10</xdr:col>
      <xdr:colOff>140652</xdr:colOff>
      <xdr:row>0</xdr:row>
      <xdr:rowOff>571500</xdr:rowOff>
    </xdr:from>
    <xdr:to>
      <xdr:col>23</xdr:col>
      <xdr:colOff>400685</xdr:colOff>
      <xdr:row>20</xdr:row>
      <xdr:rowOff>1747</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5</xdr:row>
      <xdr:rowOff>19321</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90" y="76200"/>
          <a:ext cx="762000" cy="88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400050</xdr:colOff>
          <xdr:row>8</xdr:row>
          <xdr:rowOff>76200</xdr:rowOff>
        </xdr:from>
        <xdr:to>
          <xdr:col>6</xdr:col>
          <xdr:colOff>1638300</xdr:colOff>
          <xdr:row>8</xdr:row>
          <xdr:rowOff>304800</xdr:rowOff>
        </xdr:to>
        <xdr:sp macro="" textlink="">
          <xdr:nvSpPr>
            <xdr:cNvPr id="129046" name="Drop Down 22" hidden="1">
              <a:extLst>
                <a:ext uri="{63B3BB69-23CF-44E3-9099-C40C66FF867C}">
                  <a14:compatExt spid="_x0000_s129046"/>
                </a:ext>
                <a:ext uri="{FF2B5EF4-FFF2-40B4-BE49-F238E27FC236}">
                  <a16:creationId xmlns:a16="http://schemas.microsoft.com/office/drawing/2014/main" id="{00000000-0008-0000-0600-000016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11</xdr:row>
          <xdr:rowOff>76200</xdr:rowOff>
        </xdr:from>
        <xdr:to>
          <xdr:col>6</xdr:col>
          <xdr:colOff>1638300</xdr:colOff>
          <xdr:row>11</xdr:row>
          <xdr:rowOff>304800</xdr:rowOff>
        </xdr:to>
        <xdr:sp macro="" textlink="">
          <xdr:nvSpPr>
            <xdr:cNvPr id="129090" name="Drop Down 66" hidden="1">
              <a:extLst>
                <a:ext uri="{63B3BB69-23CF-44E3-9099-C40C66FF867C}">
                  <a14:compatExt spid="_x0000_s129090"/>
                </a:ext>
                <a:ext uri="{FF2B5EF4-FFF2-40B4-BE49-F238E27FC236}">
                  <a16:creationId xmlns:a16="http://schemas.microsoft.com/office/drawing/2014/main" id="{00000000-0008-0000-0600-000042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14</xdr:row>
          <xdr:rowOff>76200</xdr:rowOff>
        </xdr:from>
        <xdr:to>
          <xdr:col>6</xdr:col>
          <xdr:colOff>1638300</xdr:colOff>
          <xdr:row>14</xdr:row>
          <xdr:rowOff>304800</xdr:rowOff>
        </xdr:to>
        <xdr:sp macro="" textlink="">
          <xdr:nvSpPr>
            <xdr:cNvPr id="129091" name="Drop Down 67" hidden="1">
              <a:extLst>
                <a:ext uri="{63B3BB69-23CF-44E3-9099-C40C66FF867C}">
                  <a14:compatExt spid="_x0000_s129091"/>
                </a:ext>
                <a:ext uri="{FF2B5EF4-FFF2-40B4-BE49-F238E27FC236}">
                  <a16:creationId xmlns:a16="http://schemas.microsoft.com/office/drawing/2014/main" id="{00000000-0008-0000-0600-000043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17</xdr:row>
          <xdr:rowOff>76200</xdr:rowOff>
        </xdr:from>
        <xdr:to>
          <xdr:col>6</xdr:col>
          <xdr:colOff>1638300</xdr:colOff>
          <xdr:row>17</xdr:row>
          <xdr:rowOff>304800</xdr:rowOff>
        </xdr:to>
        <xdr:sp macro="" textlink="">
          <xdr:nvSpPr>
            <xdr:cNvPr id="129092" name="Drop Down 68" hidden="1">
              <a:extLst>
                <a:ext uri="{63B3BB69-23CF-44E3-9099-C40C66FF867C}">
                  <a14:compatExt spid="_x0000_s129092"/>
                </a:ext>
                <a:ext uri="{FF2B5EF4-FFF2-40B4-BE49-F238E27FC236}">
                  <a16:creationId xmlns:a16="http://schemas.microsoft.com/office/drawing/2014/main" id="{00000000-0008-0000-0600-000044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20</xdr:row>
          <xdr:rowOff>76200</xdr:rowOff>
        </xdr:from>
        <xdr:to>
          <xdr:col>6</xdr:col>
          <xdr:colOff>1638300</xdr:colOff>
          <xdr:row>20</xdr:row>
          <xdr:rowOff>304800</xdr:rowOff>
        </xdr:to>
        <xdr:sp macro="" textlink="">
          <xdr:nvSpPr>
            <xdr:cNvPr id="129093" name="Drop Down 69" hidden="1">
              <a:extLst>
                <a:ext uri="{63B3BB69-23CF-44E3-9099-C40C66FF867C}">
                  <a14:compatExt spid="_x0000_s129093"/>
                </a:ext>
                <a:ext uri="{FF2B5EF4-FFF2-40B4-BE49-F238E27FC236}">
                  <a16:creationId xmlns:a16="http://schemas.microsoft.com/office/drawing/2014/main" id="{00000000-0008-0000-0600-000045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23</xdr:row>
          <xdr:rowOff>76200</xdr:rowOff>
        </xdr:from>
        <xdr:to>
          <xdr:col>6</xdr:col>
          <xdr:colOff>1638300</xdr:colOff>
          <xdr:row>23</xdr:row>
          <xdr:rowOff>304800</xdr:rowOff>
        </xdr:to>
        <xdr:sp macro="" textlink="">
          <xdr:nvSpPr>
            <xdr:cNvPr id="129094" name="Drop Down 70" hidden="1">
              <a:extLst>
                <a:ext uri="{63B3BB69-23CF-44E3-9099-C40C66FF867C}">
                  <a14:compatExt spid="_x0000_s129094"/>
                </a:ext>
                <a:ext uri="{FF2B5EF4-FFF2-40B4-BE49-F238E27FC236}">
                  <a16:creationId xmlns:a16="http://schemas.microsoft.com/office/drawing/2014/main" id="{00000000-0008-0000-0600-000046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26</xdr:row>
          <xdr:rowOff>76200</xdr:rowOff>
        </xdr:from>
        <xdr:to>
          <xdr:col>6</xdr:col>
          <xdr:colOff>1638300</xdr:colOff>
          <xdr:row>26</xdr:row>
          <xdr:rowOff>304800</xdr:rowOff>
        </xdr:to>
        <xdr:sp macro="" textlink="">
          <xdr:nvSpPr>
            <xdr:cNvPr id="129095" name="Drop Down 71" hidden="1">
              <a:extLst>
                <a:ext uri="{63B3BB69-23CF-44E3-9099-C40C66FF867C}">
                  <a14:compatExt spid="_x0000_s129095"/>
                </a:ext>
                <a:ext uri="{FF2B5EF4-FFF2-40B4-BE49-F238E27FC236}">
                  <a16:creationId xmlns:a16="http://schemas.microsoft.com/office/drawing/2014/main" id="{00000000-0008-0000-0600-000047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5</xdr:row>
      <xdr:rowOff>19321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76200"/>
          <a:ext cx="7620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400050</xdr:colOff>
          <xdr:row>8</xdr:row>
          <xdr:rowOff>76200</xdr:rowOff>
        </xdr:from>
        <xdr:to>
          <xdr:col>6</xdr:col>
          <xdr:colOff>1638300</xdr:colOff>
          <xdr:row>8</xdr:row>
          <xdr:rowOff>304800</xdr:rowOff>
        </xdr:to>
        <xdr:sp macro="" textlink="">
          <xdr:nvSpPr>
            <xdr:cNvPr id="176129" name="Drop Down 1" hidden="1">
              <a:extLst>
                <a:ext uri="{63B3BB69-23CF-44E3-9099-C40C66FF867C}">
                  <a14:compatExt spid="_x0000_s176129"/>
                </a:ext>
                <a:ext uri="{FF2B5EF4-FFF2-40B4-BE49-F238E27FC236}">
                  <a16:creationId xmlns:a16="http://schemas.microsoft.com/office/drawing/2014/main" id="{00000000-0008-0000-0700-000001B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11</xdr:row>
          <xdr:rowOff>76200</xdr:rowOff>
        </xdr:from>
        <xdr:to>
          <xdr:col>6</xdr:col>
          <xdr:colOff>1638300</xdr:colOff>
          <xdr:row>11</xdr:row>
          <xdr:rowOff>304800</xdr:rowOff>
        </xdr:to>
        <xdr:sp macro="" textlink="">
          <xdr:nvSpPr>
            <xdr:cNvPr id="176136" name="Drop Down 8" hidden="1">
              <a:extLst>
                <a:ext uri="{63B3BB69-23CF-44E3-9099-C40C66FF867C}">
                  <a14:compatExt spid="_x0000_s176136"/>
                </a:ext>
                <a:ext uri="{FF2B5EF4-FFF2-40B4-BE49-F238E27FC236}">
                  <a16:creationId xmlns:a16="http://schemas.microsoft.com/office/drawing/2014/main" id="{00000000-0008-0000-0700-000008B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14</xdr:row>
          <xdr:rowOff>76200</xdr:rowOff>
        </xdr:from>
        <xdr:to>
          <xdr:col>6</xdr:col>
          <xdr:colOff>1638300</xdr:colOff>
          <xdr:row>14</xdr:row>
          <xdr:rowOff>304800</xdr:rowOff>
        </xdr:to>
        <xdr:sp macro="" textlink="">
          <xdr:nvSpPr>
            <xdr:cNvPr id="176137" name="Drop Down 9" hidden="1">
              <a:extLst>
                <a:ext uri="{63B3BB69-23CF-44E3-9099-C40C66FF867C}">
                  <a14:compatExt spid="_x0000_s176137"/>
                </a:ext>
                <a:ext uri="{FF2B5EF4-FFF2-40B4-BE49-F238E27FC236}">
                  <a16:creationId xmlns:a16="http://schemas.microsoft.com/office/drawing/2014/main" id="{00000000-0008-0000-0700-000009B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17</xdr:row>
          <xdr:rowOff>76200</xdr:rowOff>
        </xdr:from>
        <xdr:to>
          <xdr:col>6</xdr:col>
          <xdr:colOff>1638300</xdr:colOff>
          <xdr:row>17</xdr:row>
          <xdr:rowOff>304800</xdr:rowOff>
        </xdr:to>
        <xdr:sp macro="" textlink="">
          <xdr:nvSpPr>
            <xdr:cNvPr id="176138" name="Drop Down 10" hidden="1">
              <a:extLst>
                <a:ext uri="{63B3BB69-23CF-44E3-9099-C40C66FF867C}">
                  <a14:compatExt spid="_x0000_s176138"/>
                </a:ext>
                <a:ext uri="{FF2B5EF4-FFF2-40B4-BE49-F238E27FC236}">
                  <a16:creationId xmlns:a16="http://schemas.microsoft.com/office/drawing/2014/main" id="{00000000-0008-0000-0700-00000AB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21</xdr:row>
          <xdr:rowOff>76200</xdr:rowOff>
        </xdr:from>
        <xdr:to>
          <xdr:col>6</xdr:col>
          <xdr:colOff>1638300</xdr:colOff>
          <xdr:row>21</xdr:row>
          <xdr:rowOff>304800</xdr:rowOff>
        </xdr:to>
        <xdr:sp macro="" textlink="">
          <xdr:nvSpPr>
            <xdr:cNvPr id="176139" name="Drop Down 11" hidden="1">
              <a:extLst>
                <a:ext uri="{63B3BB69-23CF-44E3-9099-C40C66FF867C}">
                  <a14:compatExt spid="_x0000_s176139"/>
                </a:ext>
                <a:ext uri="{FF2B5EF4-FFF2-40B4-BE49-F238E27FC236}">
                  <a16:creationId xmlns:a16="http://schemas.microsoft.com/office/drawing/2014/main" id="{00000000-0008-0000-0700-00000BB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24</xdr:row>
          <xdr:rowOff>76200</xdr:rowOff>
        </xdr:from>
        <xdr:to>
          <xdr:col>6</xdr:col>
          <xdr:colOff>1638300</xdr:colOff>
          <xdr:row>24</xdr:row>
          <xdr:rowOff>304800</xdr:rowOff>
        </xdr:to>
        <xdr:sp macro="" textlink="">
          <xdr:nvSpPr>
            <xdr:cNvPr id="176140" name="Drop Down 12" hidden="1">
              <a:extLst>
                <a:ext uri="{63B3BB69-23CF-44E3-9099-C40C66FF867C}">
                  <a14:compatExt spid="_x0000_s176140"/>
                </a:ext>
                <a:ext uri="{FF2B5EF4-FFF2-40B4-BE49-F238E27FC236}">
                  <a16:creationId xmlns:a16="http://schemas.microsoft.com/office/drawing/2014/main" id="{00000000-0008-0000-0700-00000CB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27</xdr:row>
          <xdr:rowOff>76200</xdr:rowOff>
        </xdr:from>
        <xdr:to>
          <xdr:col>6</xdr:col>
          <xdr:colOff>1638300</xdr:colOff>
          <xdr:row>27</xdr:row>
          <xdr:rowOff>304800</xdr:rowOff>
        </xdr:to>
        <xdr:sp macro="" textlink="">
          <xdr:nvSpPr>
            <xdr:cNvPr id="176141" name="Drop Down 13" hidden="1">
              <a:extLst>
                <a:ext uri="{63B3BB69-23CF-44E3-9099-C40C66FF867C}">
                  <a14:compatExt spid="_x0000_s176141"/>
                </a:ext>
                <a:ext uri="{FF2B5EF4-FFF2-40B4-BE49-F238E27FC236}">
                  <a16:creationId xmlns:a16="http://schemas.microsoft.com/office/drawing/2014/main" id="{00000000-0008-0000-0700-00000DB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30</xdr:row>
          <xdr:rowOff>76200</xdr:rowOff>
        </xdr:from>
        <xdr:to>
          <xdr:col>6</xdr:col>
          <xdr:colOff>1638300</xdr:colOff>
          <xdr:row>30</xdr:row>
          <xdr:rowOff>304800</xdr:rowOff>
        </xdr:to>
        <xdr:sp macro="" textlink="">
          <xdr:nvSpPr>
            <xdr:cNvPr id="176142" name="Drop Down 14" hidden="1">
              <a:extLst>
                <a:ext uri="{63B3BB69-23CF-44E3-9099-C40C66FF867C}">
                  <a14:compatExt spid="_x0000_s176142"/>
                </a:ext>
                <a:ext uri="{FF2B5EF4-FFF2-40B4-BE49-F238E27FC236}">
                  <a16:creationId xmlns:a16="http://schemas.microsoft.com/office/drawing/2014/main" id="{00000000-0008-0000-0700-00000EB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33</xdr:row>
          <xdr:rowOff>76200</xdr:rowOff>
        </xdr:from>
        <xdr:to>
          <xdr:col>6</xdr:col>
          <xdr:colOff>1638300</xdr:colOff>
          <xdr:row>33</xdr:row>
          <xdr:rowOff>304800</xdr:rowOff>
        </xdr:to>
        <xdr:sp macro="" textlink="">
          <xdr:nvSpPr>
            <xdr:cNvPr id="176143" name="Drop Down 15" hidden="1">
              <a:extLst>
                <a:ext uri="{63B3BB69-23CF-44E3-9099-C40C66FF867C}">
                  <a14:compatExt spid="_x0000_s176143"/>
                </a:ext>
                <a:ext uri="{FF2B5EF4-FFF2-40B4-BE49-F238E27FC236}">
                  <a16:creationId xmlns:a16="http://schemas.microsoft.com/office/drawing/2014/main" id="{00000000-0008-0000-0700-00000FB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5</xdr:row>
      <xdr:rowOff>19321</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76200"/>
          <a:ext cx="7620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400050</xdr:colOff>
          <xdr:row>8</xdr:row>
          <xdr:rowOff>76200</xdr:rowOff>
        </xdr:from>
        <xdr:to>
          <xdr:col>6</xdr:col>
          <xdr:colOff>1638300</xdr:colOff>
          <xdr:row>8</xdr:row>
          <xdr:rowOff>304800</xdr:rowOff>
        </xdr:to>
        <xdr:sp macro="" textlink="">
          <xdr:nvSpPr>
            <xdr:cNvPr id="177153" name="Drop Down 1" hidden="1">
              <a:extLst>
                <a:ext uri="{63B3BB69-23CF-44E3-9099-C40C66FF867C}">
                  <a14:compatExt spid="_x0000_s177153"/>
                </a:ext>
                <a:ext uri="{FF2B5EF4-FFF2-40B4-BE49-F238E27FC236}">
                  <a16:creationId xmlns:a16="http://schemas.microsoft.com/office/drawing/2014/main" id="{00000000-0008-0000-0800-000001B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11</xdr:row>
          <xdr:rowOff>76200</xdr:rowOff>
        </xdr:from>
        <xdr:to>
          <xdr:col>6</xdr:col>
          <xdr:colOff>1638300</xdr:colOff>
          <xdr:row>11</xdr:row>
          <xdr:rowOff>304800</xdr:rowOff>
        </xdr:to>
        <xdr:sp macro="" textlink="">
          <xdr:nvSpPr>
            <xdr:cNvPr id="177162" name="Drop Down 10" hidden="1">
              <a:extLst>
                <a:ext uri="{63B3BB69-23CF-44E3-9099-C40C66FF867C}">
                  <a14:compatExt spid="_x0000_s177162"/>
                </a:ext>
                <a:ext uri="{FF2B5EF4-FFF2-40B4-BE49-F238E27FC236}">
                  <a16:creationId xmlns:a16="http://schemas.microsoft.com/office/drawing/2014/main" id="{00000000-0008-0000-0800-00000AB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14</xdr:row>
          <xdr:rowOff>76200</xdr:rowOff>
        </xdr:from>
        <xdr:to>
          <xdr:col>6</xdr:col>
          <xdr:colOff>1638300</xdr:colOff>
          <xdr:row>14</xdr:row>
          <xdr:rowOff>304800</xdr:rowOff>
        </xdr:to>
        <xdr:sp macro="" textlink="">
          <xdr:nvSpPr>
            <xdr:cNvPr id="177163" name="Drop Down 11" hidden="1">
              <a:extLst>
                <a:ext uri="{63B3BB69-23CF-44E3-9099-C40C66FF867C}">
                  <a14:compatExt spid="_x0000_s177163"/>
                </a:ext>
                <a:ext uri="{FF2B5EF4-FFF2-40B4-BE49-F238E27FC236}">
                  <a16:creationId xmlns:a16="http://schemas.microsoft.com/office/drawing/2014/main" id="{00000000-0008-0000-0800-00000BB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17</xdr:row>
          <xdr:rowOff>76200</xdr:rowOff>
        </xdr:from>
        <xdr:to>
          <xdr:col>6</xdr:col>
          <xdr:colOff>1638300</xdr:colOff>
          <xdr:row>17</xdr:row>
          <xdr:rowOff>304800</xdr:rowOff>
        </xdr:to>
        <xdr:sp macro="" textlink="">
          <xdr:nvSpPr>
            <xdr:cNvPr id="177164" name="Drop Down 12" hidden="1">
              <a:extLst>
                <a:ext uri="{63B3BB69-23CF-44E3-9099-C40C66FF867C}">
                  <a14:compatExt spid="_x0000_s177164"/>
                </a:ext>
                <a:ext uri="{FF2B5EF4-FFF2-40B4-BE49-F238E27FC236}">
                  <a16:creationId xmlns:a16="http://schemas.microsoft.com/office/drawing/2014/main" id="{00000000-0008-0000-0800-00000CB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20</xdr:row>
          <xdr:rowOff>76200</xdr:rowOff>
        </xdr:from>
        <xdr:to>
          <xdr:col>6</xdr:col>
          <xdr:colOff>1638300</xdr:colOff>
          <xdr:row>20</xdr:row>
          <xdr:rowOff>304800</xdr:rowOff>
        </xdr:to>
        <xdr:sp macro="" textlink="">
          <xdr:nvSpPr>
            <xdr:cNvPr id="177165" name="Drop Down 13" hidden="1">
              <a:extLst>
                <a:ext uri="{63B3BB69-23CF-44E3-9099-C40C66FF867C}">
                  <a14:compatExt spid="_x0000_s177165"/>
                </a:ext>
                <a:ext uri="{FF2B5EF4-FFF2-40B4-BE49-F238E27FC236}">
                  <a16:creationId xmlns:a16="http://schemas.microsoft.com/office/drawing/2014/main" id="{00000000-0008-0000-0800-00000DB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23</xdr:row>
          <xdr:rowOff>76200</xdr:rowOff>
        </xdr:from>
        <xdr:to>
          <xdr:col>6</xdr:col>
          <xdr:colOff>1638300</xdr:colOff>
          <xdr:row>23</xdr:row>
          <xdr:rowOff>304800</xdr:rowOff>
        </xdr:to>
        <xdr:sp macro="" textlink="">
          <xdr:nvSpPr>
            <xdr:cNvPr id="177166" name="Drop Down 14" hidden="1">
              <a:extLst>
                <a:ext uri="{63B3BB69-23CF-44E3-9099-C40C66FF867C}">
                  <a14:compatExt spid="_x0000_s177166"/>
                </a:ext>
                <a:ext uri="{FF2B5EF4-FFF2-40B4-BE49-F238E27FC236}">
                  <a16:creationId xmlns:a16="http://schemas.microsoft.com/office/drawing/2014/main" id="{00000000-0008-0000-0800-00000EB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9.emf"/><Relationship Id="rId3" Type="http://schemas.openxmlformats.org/officeDocument/2006/relationships/vmlDrawing" Target="../drawings/vmlDrawing2.vml"/><Relationship Id="rId7" Type="http://schemas.openxmlformats.org/officeDocument/2006/relationships/image" Target="../media/image6.emf"/><Relationship Id="rId12" Type="http://schemas.openxmlformats.org/officeDocument/2006/relationships/control" Target="../activeX/activeX5.xml"/><Relationship Id="rId2" Type="http://schemas.openxmlformats.org/officeDocument/2006/relationships/drawing" Target="../drawings/drawing4.xml"/><Relationship Id="rId16" Type="http://schemas.openxmlformats.org/officeDocument/2006/relationships/ctrlProp" Target="../ctrlProps/ctrlProp4.xml"/><Relationship Id="rId1" Type="http://schemas.openxmlformats.org/officeDocument/2006/relationships/printerSettings" Target="../printerSettings/printerSettings4.bin"/><Relationship Id="rId6" Type="http://schemas.openxmlformats.org/officeDocument/2006/relationships/control" Target="../activeX/activeX2.xml"/><Relationship Id="rId11" Type="http://schemas.openxmlformats.org/officeDocument/2006/relationships/image" Target="../media/image8.emf"/><Relationship Id="rId5" Type="http://schemas.openxmlformats.org/officeDocument/2006/relationships/image" Target="../media/image5.emf"/><Relationship Id="rId15" Type="http://schemas.openxmlformats.org/officeDocument/2006/relationships/image" Target="../media/image10.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7.emf"/><Relationship Id="rId14" Type="http://schemas.openxmlformats.org/officeDocument/2006/relationships/control" Target="../activeX/activeX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5.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1.xml"/><Relationship Id="rId3" Type="http://schemas.openxmlformats.org/officeDocument/2006/relationships/vmlDrawing" Target="../drawings/vmlDrawing4.vml"/><Relationship Id="rId7" Type="http://schemas.openxmlformats.org/officeDocument/2006/relationships/ctrlProp" Target="../ctrlProps/ctrlProp30.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29.xml"/><Relationship Id="rId5" Type="http://schemas.openxmlformats.org/officeDocument/2006/relationships/ctrlProp" Target="../ctrlProps/ctrlProp28.xml"/><Relationship Id="rId10" Type="http://schemas.openxmlformats.org/officeDocument/2006/relationships/ctrlProp" Target="../ctrlProps/ctrlProp33.xml"/><Relationship Id="rId4" Type="http://schemas.openxmlformats.org/officeDocument/2006/relationships/ctrlProp" Target="../ctrlProps/ctrlProp27.xml"/><Relationship Id="rId9" Type="http://schemas.openxmlformats.org/officeDocument/2006/relationships/ctrlProp" Target="../ctrlProps/ctrlProp3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8.xml"/><Relationship Id="rId3" Type="http://schemas.openxmlformats.org/officeDocument/2006/relationships/vmlDrawing" Target="../drawings/vmlDrawing5.vml"/><Relationship Id="rId7" Type="http://schemas.openxmlformats.org/officeDocument/2006/relationships/ctrlProp" Target="../ctrlProps/ctrlProp37.xml"/><Relationship Id="rId12" Type="http://schemas.openxmlformats.org/officeDocument/2006/relationships/ctrlProp" Target="../ctrlProps/ctrlProp42.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7.xml"/><Relationship Id="rId3" Type="http://schemas.openxmlformats.org/officeDocument/2006/relationships/vmlDrawing" Target="../drawings/vmlDrawing6.vml"/><Relationship Id="rId7" Type="http://schemas.openxmlformats.org/officeDocument/2006/relationships/ctrlProp" Target="../ctrlProps/ctrlProp46.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45.xml"/><Relationship Id="rId5" Type="http://schemas.openxmlformats.org/officeDocument/2006/relationships/ctrlProp" Target="../ctrlProps/ctrlProp44.xml"/><Relationship Id="rId4" Type="http://schemas.openxmlformats.org/officeDocument/2006/relationships/ctrlProp" Target="../ctrlProps/ctrlProp43.xml"/><Relationship Id="rId9"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tabColor theme="0" tint="-0.499984740745262"/>
    <pageSetUpPr autoPageBreaks="0" fitToPage="1"/>
  </sheetPr>
  <dimension ref="B2:P79"/>
  <sheetViews>
    <sheetView showGridLines="0" showRowColHeaders="0" tabSelected="1" zoomScaleNormal="100" workbookViewId="0">
      <selection activeCell="D2" sqref="D2:L5"/>
    </sheetView>
  </sheetViews>
  <sheetFormatPr defaultColWidth="9.140625" defaultRowHeight="15" x14ac:dyDescent="0.25"/>
  <cols>
    <col min="1" max="14" width="9.140625" style="13"/>
    <col min="15" max="16" width="3.5703125" style="13" customWidth="1"/>
    <col min="17" max="16384" width="9.140625" style="13"/>
  </cols>
  <sheetData>
    <row r="2" spans="2:16" ht="15" customHeight="1" x14ac:dyDescent="0.25">
      <c r="D2" s="298" t="s">
        <v>121</v>
      </c>
      <c r="E2" s="298"/>
      <c r="F2" s="298"/>
      <c r="G2" s="298"/>
      <c r="H2" s="298"/>
      <c r="I2" s="298"/>
      <c r="J2" s="298"/>
      <c r="K2" s="298"/>
      <c r="L2" s="298"/>
      <c r="M2" s="112"/>
      <c r="N2" s="112"/>
      <c r="O2" s="112"/>
      <c r="P2" s="112"/>
    </row>
    <row r="3" spans="2:16" ht="15" customHeight="1" x14ac:dyDescent="0.25">
      <c r="D3" s="298"/>
      <c r="E3" s="298"/>
      <c r="F3" s="298"/>
      <c r="G3" s="298"/>
      <c r="H3" s="298"/>
      <c r="I3" s="298"/>
      <c r="J3" s="298"/>
      <c r="K3" s="298"/>
      <c r="L3" s="298"/>
      <c r="M3" s="112"/>
      <c r="N3" s="112"/>
      <c r="O3" s="112"/>
      <c r="P3" s="112"/>
    </row>
    <row r="4" spans="2:16" ht="15" customHeight="1" x14ac:dyDescent="0.25">
      <c r="D4" s="298"/>
      <c r="E4" s="298"/>
      <c r="F4" s="298"/>
      <c r="G4" s="298"/>
      <c r="H4" s="298"/>
      <c r="I4" s="298"/>
      <c r="J4" s="298"/>
      <c r="K4" s="298"/>
      <c r="L4" s="298"/>
      <c r="M4" s="112"/>
      <c r="N4" s="112"/>
      <c r="O4" s="112"/>
      <c r="P4" s="112"/>
    </row>
    <row r="5" spans="2:16" ht="15" customHeight="1" x14ac:dyDescent="0.25">
      <c r="D5" s="298"/>
      <c r="E5" s="298"/>
      <c r="F5" s="298"/>
      <c r="G5" s="298"/>
      <c r="H5" s="298"/>
      <c r="I5" s="298"/>
      <c r="J5" s="298"/>
      <c r="K5" s="298"/>
      <c r="L5" s="298"/>
      <c r="M5" s="112"/>
      <c r="N5" s="112"/>
      <c r="O5" s="112"/>
      <c r="P5" s="112"/>
    </row>
    <row r="8" spans="2:16" ht="19.5" x14ac:dyDescent="0.3">
      <c r="B8" s="14" t="s">
        <v>3</v>
      </c>
      <c r="C8" s="12"/>
    </row>
    <row r="9" spans="2:16" x14ac:dyDescent="0.25">
      <c r="B9" s="10"/>
    </row>
    <row r="10" spans="2:16" ht="17.25" x14ac:dyDescent="0.3">
      <c r="B10" s="11" t="s">
        <v>75</v>
      </c>
    </row>
    <row r="11" spans="2:16" ht="6.75" customHeight="1" x14ac:dyDescent="0.25"/>
    <row r="12" spans="2:16" ht="14.45" customHeight="1" x14ac:dyDescent="0.25">
      <c r="B12" s="297" t="s">
        <v>197</v>
      </c>
      <c r="C12" s="297"/>
      <c r="D12" s="297"/>
      <c r="E12" s="297"/>
      <c r="F12" s="297"/>
      <c r="G12" s="297"/>
      <c r="H12" s="297"/>
      <c r="I12" s="297"/>
      <c r="J12" s="297"/>
      <c r="K12" s="297"/>
      <c r="L12" s="297"/>
    </row>
    <row r="13" spans="2:16" x14ac:dyDescent="0.25">
      <c r="B13" s="297"/>
      <c r="C13" s="297"/>
      <c r="D13" s="297"/>
      <c r="E13" s="297"/>
      <c r="F13" s="297"/>
      <c r="G13" s="297"/>
      <c r="H13" s="297"/>
      <c r="I13" s="297"/>
      <c r="J13" s="297"/>
      <c r="K13" s="297"/>
      <c r="L13" s="297"/>
    </row>
    <row r="14" spans="2:16" x14ac:dyDescent="0.25">
      <c r="B14" s="297"/>
      <c r="C14" s="297"/>
      <c r="D14" s="297"/>
      <c r="E14" s="297"/>
      <c r="F14" s="297"/>
      <c r="G14" s="297"/>
      <c r="H14" s="297"/>
      <c r="I14" s="297"/>
      <c r="J14" s="297"/>
      <c r="K14" s="297"/>
      <c r="L14" s="297"/>
    </row>
    <row r="15" spans="2:16" x14ac:dyDescent="0.25">
      <c r="B15" s="297"/>
      <c r="C15" s="297"/>
      <c r="D15" s="297"/>
      <c r="E15" s="297"/>
      <c r="F15" s="297"/>
      <c r="G15" s="297"/>
      <c r="H15" s="297"/>
      <c r="I15" s="297"/>
      <c r="J15" s="297"/>
      <c r="K15" s="297"/>
      <c r="L15" s="297"/>
    </row>
    <row r="16" spans="2:16" ht="46.5" customHeight="1" x14ac:dyDescent="0.25">
      <c r="B16" s="297"/>
      <c r="C16" s="297"/>
      <c r="D16" s="297"/>
      <c r="E16" s="297"/>
      <c r="F16" s="297"/>
      <c r="G16" s="297"/>
      <c r="H16" s="297"/>
      <c r="I16" s="297"/>
      <c r="J16" s="297"/>
      <c r="K16" s="297"/>
      <c r="L16" s="297"/>
    </row>
    <row r="18" spans="2:12" ht="15" customHeight="1" x14ac:dyDescent="0.25">
      <c r="B18" s="297" t="s">
        <v>201</v>
      </c>
      <c r="C18" s="297"/>
      <c r="D18" s="297"/>
      <c r="E18" s="297"/>
      <c r="F18" s="297"/>
      <c r="G18" s="297"/>
      <c r="H18" s="297"/>
      <c r="I18" s="297"/>
      <c r="J18" s="297"/>
      <c r="K18" s="297"/>
      <c r="L18" s="297"/>
    </row>
    <row r="19" spans="2:12" x14ac:dyDescent="0.25">
      <c r="B19" s="297"/>
      <c r="C19" s="297"/>
      <c r="D19" s="297"/>
      <c r="E19" s="297"/>
      <c r="F19" s="297"/>
      <c r="G19" s="297"/>
      <c r="H19" s="297"/>
      <c r="I19" s="297"/>
      <c r="J19" s="297"/>
      <c r="K19" s="297"/>
      <c r="L19" s="297"/>
    </row>
    <row r="20" spans="2:12" x14ac:dyDescent="0.25">
      <c r="B20" s="297"/>
      <c r="C20" s="297"/>
      <c r="D20" s="297"/>
      <c r="E20" s="297"/>
      <c r="F20" s="297"/>
      <c r="G20" s="297"/>
      <c r="H20" s="297"/>
      <c r="I20" s="297"/>
      <c r="J20" s="297"/>
      <c r="K20" s="297"/>
      <c r="L20" s="297"/>
    </row>
    <row r="21" spans="2:12" ht="28.5" customHeight="1" x14ac:dyDescent="0.25">
      <c r="B21" s="297"/>
      <c r="C21" s="297"/>
      <c r="D21" s="297"/>
      <c r="E21" s="297"/>
      <c r="F21" s="297"/>
      <c r="G21" s="297"/>
      <c r="H21" s="297"/>
      <c r="I21" s="297"/>
      <c r="J21" s="297"/>
      <c r="K21" s="297"/>
      <c r="L21" s="297"/>
    </row>
    <row r="22" spans="2:12" ht="15" customHeight="1" x14ac:dyDescent="0.25">
      <c r="B22" s="297" t="s">
        <v>207</v>
      </c>
      <c r="C22" s="297"/>
      <c r="D22" s="297"/>
      <c r="E22" s="297"/>
      <c r="F22" s="297"/>
      <c r="G22" s="297"/>
      <c r="H22" s="297"/>
      <c r="I22" s="297"/>
      <c r="J22" s="297"/>
      <c r="K22" s="297"/>
      <c r="L22" s="297"/>
    </row>
    <row r="23" spans="2:12" x14ac:dyDescent="0.25">
      <c r="B23" s="297"/>
      <c r="C23" s="297"/>
      <c r="D23" s="297"/>
      <c r="E23" s="297"/>
      <c r="F23" s="297"/>
      <c r="G23" s="297"/>
      <c r="H23" s="297"/>
      <c r="I23" s="297"/>
      <c r="J23" s="297"/>
      <c r="K23" s="297"/>
      <c r="L23" s="297"/>
    </row>
    <row r="24" spans="2:12" x14ac:dyDescent="0.25">
      <c r="B24" s="297"/>
      <c r="C24" s="297"/>
      <c r="D24" s="297"/>
      <c r="E24" s="297"/>
      <c r="F24" s="297"/>
      <c r="G24" s="297"/>
      <c r="H24" s="297"/>
      <c r="I24" s="297"/>
      <c r="J24" s="297"/>
      <c r="K24" s="297"/>
      <c r="L24" s="297"/>
    </row>
    <row r="25" spans="2:12" ht="7.5" customHeight="1" x14ac:dyDescent="0.25">
      <c r="B25" s="88"/>
      <c r="C25" s="88"/>
      <c r="D25" s="88"/>
      <c r="E25" s="88"/>
      <c r="F25" s="88"/>
      <c r="G25" s="88"/>
      <c r="H25" s="88"/>
      <c r="I25" s="88"/>
      <c r="J25" s="88"/>
      <c r="K25" s="88"/>
      <c r="L25" s="88"/>
    </row>
    <row r="26" spans="2:12" x14ac:dyDescent="0.25">
      <c r="C26" s="167" t="s">
        <v>198</v>
      </c>
      <c r="D26" s="88"/>
      <c r="E26" s="88"/>
      <c r="F26" s="88"/>
      <c r="G26" s="88"/>
      <c r="H26" s="88"/>
      <c r="I26" s="88"/>
      <c r="J26" s="88"/>
      <c r="K26" s="88"/>
      <c r="L26" s="88"/>
    </row>
    <row r="27" spans="2:12" x14ac:dyDescent="0.25">
      <c r="B27" s="88"/>
      <c r="C27" s="167" t="s">
        <v>196</v>
      </c>
      <c r="D27" s="88"/>
      <c r="E27" s="88"/>
      <c r="F27" s="88"/>
      <c r="G27" s="88"/>
      <c r="H27" s="88"/>
      <c r="I27" s="88"/>
      <c r="J27" s="88"/>
      <c r="K27" s="88"/>
      <c r="L27" s="88"/>
    </row>
    <row r="28" spans="2:12" x14ac:dyDescent="0.25">
      <c r="B28" s="88"/>
      <c r="C28" s="88"/>
      <c r="D28" s="88"/>
      <c r="E28" s="88"/>
      <c r="F28" s="88"/>
      <c r="G28" s="88"/>
      <c r="H28" s="88"/>
      <c r="I28" s="88"/>
      <c r="J28" s="88"/>
      <c r="K28" s="88"/>
      <c r="L28" s="88"/>
    </row>
    <row r="29" spans="2:12" ht="15" customHeight="1" x14ac:dyDescent="0.25">
      <c r="B29" s="297" t="s">
        <v>206</v>
      </c>
      <c r="C29" s="297"/>
      <c r="D29" s="297"/>
      <c r="E29" s="297"/>
      <c r="F29" s="297"/>
      <c r="G29" s="297"/>
      <c r="H29" s="297"/>
      <c r="I29" s="297"/>
      <c r="J29" s="297"/>
      <c r="K29" s="297"/>
      <c r="L29" s="297"/>
    </row>
    <row r="30" spans="2:12" x14ac:dyDescent="0.25">
      <c r="B30" s="297"/>
      <c r="C30" s="297"/>
      <c r="D30" s="297"/>
      <c r="E30" s="297"/>
      <c r="F30" s="297"/>
      <c r="G30" s="297"/>
      <c r="H30" s="297"/>
      <c r="I30" s="297"/>
      <c r="J30" s="297"/>
      <c r="K30" s="297"/>
      <c r="L30" s="297"/>
    </row>
    <row r="31" spans="2:12" x14ac:dyDescent="0.25">
      <c r="B31" s="297"/>
      <c r="C31" s="297"/>
      <c r="D31" s="297"/>
      <c r="E31" s="297"/>
      <c r="F31" s="297"/>
      <c r="G31" s="297"/>
      <c r="H31" s="297"/>
      <c r="I31" s="297"/>
      <c r="J31" s="297"/>
      <c r="K31" s="297"/>
      <c r="L31" s="297"/>
    </row>
    <row r="32" spans="2:12" x14ac:dyDescent="0.25">
      <c r="B32" s="297"/>
      <c r="C32" s="297"/>
      <c r="D32" s="297"/>
      <c r="E32" s="297"/>
      <c r="F32" s="297"/>
      <c r="G32" s="297"/>
      <c r="H32" s="297"/>
      <c r="I32" s="297"/>
      <c r="J32" s="297"/>
      <c r="K32" s="297"/>
      <c r="L32" s="297"/>
    </row>
    <row r="33" spans="2:12" ht="18" customHeight="1" x14ac:dyDescent="0.25">
      <c r="B33" s="299" t="s">
        <v>195</v>
      </c>
      <c r="C33" s="299"/>
      <c r="D33" s="299"/>
      <c r="E33" s="299"/>
      <c r="F33" s="299"/>
      <c r="G33" s="299"/>
      <c r="H33" s="299"/>
      <c r="I33" s="299"/>
      <c r="J33" s="299"/>
      <c r="K33" s="299"/>
      <c r="L33" s="299"/>
    </row>
    <row r="34" spans="2:12" ht="9" customHeight="1" x14ac:dyDescent="0.25">
      <c r="B34" s="299"/>
      <c r="C34" s="299"/>
      <c r="D34" s="299"/>
      <c r="E34" s="299"/>
      <c r="F34" s="299"/>
      <c r="G34" s="299"/>
      <c r="H34" s="299"/>
      <c r="I34" s="299"/>
      <c r="J34" s="299"/>
      <c r="K34" s="299"/>
      <c r="L34" s="299"/>
    </row>
    <row r="35" spans="2:12" hidden="1" x14ac:dyDescent="0.25">
      <c r="B35" s="299"/>
      <c r="C35" s="299"/>
      <c r="D35" s="299"/>
      <c r="E35" s="299"/>
      <c r="F35" s="299"/>
      <c r="G35" s="299"/>
      <c r="H35" s="299"/>
      <c r="I35" s="299"/>
      <c r="J35" s="299"/>
      <c r="K35" s="299"/>
      <c r="L35" s="299"/>
    </row>
    <row r="36" spans="2:12" ht="24" customHeight="1" x14ac:dyDescent="0.25">
      <c r="B36" s="232"/>
      <c r="C36" s="167" t="s">
        <v>205</v>
      </c>
      <c r="D36" s="232"/>
      <c r="E36" s="232"/>
      <c r="F36" s="232"/>
      <c r="G36" s="232"/>
      <c r="H36" s="232"/>
      <c r="I36" s="232"/>
      <c r="J36" s="232"/>
      <c r="K36" s="232"/>
      <c r="L36" s="232"/>
    </row>
    <row r="37" spans="2:12" ht="20.25" customHeight="1" x14ac:dyDescent="0.25">
      <c r="C37" s="167" t="s">
        <v>231</v>
      </c>
      <c r="D37" s="232"/>
      <c r="E37" s="232"/>
      <c r="F37" s="232"/>
      <c r="G37" s="232"/>
      <c r="H37" s="232"/>
      <c r="I37" s="232"/>
      <c r="J37" s="232"/>
      <c r="K37" s="232"/>
      <c r="L37" s="232"/>
    </row>
    <row r="38" spans="2:12" ht="17.25" x14ac:dyDescent="0.3">
      <c r="B38" s="11" t="s">
        <v>199</v>
      </c>
    </row>
    <row r="39" spans="2:12" ht="6.75" customHeight="1" x14ac:dyDescent="0.25"/>
    <row r="40" spans="2:12" ht="14.45" customHeight="1" x14ac:dyDescent="0.25">
      <c r="B40" s="297" t="s">
        <v>200</v>
      </c>
      <c r="C40" s="297"/>
      <c r="D40" s="297"/>
      <c r="E40" s="297"/>
      <c r="F40" s="297"/>
      <c r="G40" s="297"/>
      <c r="H40" s="297"/>
      <c r="I40" s="297"/>
      <c r="J40" s="297"/>
      <c r="K40" s="297"/>
      <c r="L40" s="297"/>
    </row>
    <row r="41" spans="2:12" x14ac:dyDescent="0.25">
      <c r="B41" s="297"/>
      <c r="C41" s="297"/>
      <c r="D41" s="297"/>
      <c r="E41" s="297"/>
      <c r="F41" s="297"/>
      <c r="G41" s="297"/>
      <c r="H41" s="297"/>
      <c r="I41" s="297"/>
      <c r="J41" s="297"/>
      <c r="K41" s="297"/>
      <c r="L41" s="297"/>
    </row>
    <row r="42" spans="2:12" ht="52.5" customHeight="1" x14ac:dyDescent="0.25">
      <c r="B42" s="297"/>
      <c r="C42" s="297"/>
      <c r="D42" s="297"/>
      <c r="E42" s="297"/>
      <c r="F42" s="297"/>
      <c r="G42" s="297"/>
      <c r="H42" s="297"/>
      <c r="I42" s="297"/>
      <c r="J42" s="297"/>
      <c r="K42" s="297"/>
      <c r="L42" s="297"/>
    </row>
    <row r="43" spans="2:12" ht="183" customHeight="1" x14ac:dyDescent="0.25"/>
    <row r="58" spans="2:12" ht="248.25" customHeight="1" x14ac:dyDescent="0.25"/>
    <row r="59" spans="2:12" x14ac:dyDescent="0.25">
      <c r="B59" s="13" t="s">
        <v>85</v>
      </c>
    </row>
    <row r="60" spans="2:12" ht="15" customHeight="1" x14ac:dyDescent="0.25"/>
    <row r="61" spans="2:12" ht="24" customHeight="1" x14ac:dyDescent="0.25">
      <c r="B61" s="233" t="s">
        <v>210</v>
      </c>
    </row>
    <row r="62" spans="2:12" ht="17.25" x14ac:dyDescent="0.3">
      <c r="B62" s="11" t="s">
        <v>4</v>
      </c>
    </row>
    <row r="63" spans="2:12" ht="6.75" customHeight="1" x14ac:dyDescent="0.25"/>
    <row r="64" spans="2:12" x14ac:dyDescent="0.25">
      <c r="B64" s="297" t="s">
        <v>86</v>
      </c>
      <c r="C64" s="297"/>
      <c r="D64" s="297"/>
      <c r="E64" s="297"/>
      <c r="F64" s="297"/>
      <c r="G64" s="297"/>
      <c r="H64" s="297"/>
      <c r="I64" s="297"/>
      <c r="J64" s="297"/>
      <c r="K64" s="297"/>
      <c r="L64" s="297"/>
    </row>
    <row r="65" spans="2:12" x14ac:dyDescent="0.25">
      <c r="B65" s="297"/>
      <c r="C65" s="297"/>
      <c r="D65" s="297"/>
      <c r="E65" s="297"/>
      <c r="F65" s="297"/>
      <c r="G65" s="297"/>
      <c r="H65" s="297"/>
      <c r="I65" s="297"/>
      <c r="J65" s="297"/>
      <c r="K65" s="297"/>
      <c r="L65" s="297"/>
    </row>
    <row r="67" spans="2:12" ht="17.25" x14ac:dyDescent="0.3">
      <c r="B67" s="11" t="s">
        <v>5</v>
      </c>
    </row>
    <row r="68" spans="2:12" ht="6.75" customHeight="1" x14ac:dyDescent="0.25"/>
    <row r="69" spans="2:12" ht="15" customHeight="1" x14ac:dyDescent="0.25">
      <c r="B69" s="297" t="s">
        <v>6</v>
      </c>
      <c r="C69" s="297"/>
      <c r="D69" s="297"/>
      <c r="E69" s="297"/>
      <c r="F69" s="297"/>
      <c r="G69" s="297"/>
      <c r="H69" s="297"/>
      <c r="I69" s="297"/>
      <c r="J69" s="297"/>
      <c r="K69" s="297"/>
      <c r="L69" s="297"/>
    </row>
    <row r="70" spans="2:12" x14ac:dyDescent="0.25">
      <c r="B70" s="297"/>
      <c r="C70" s="297"/>
      <c r="D70" s="297"/>
      <c r="E70" s="297"/>
      <c r="F70" s="297"/>
      <c r="G70" s="297"/>
      <c r="H70" s="297"/>
      <c r="I70" s="297"/>
      <c r="J70" s="297"/>
      <c r="K70" s="297"/>
      <c r="L70" s="297"/>
    </row>
    <row r="71" spans="2:12" x14ac:dyDescent="0.25">
      <c r="B71" s="88"/>
      <c r="C71" s="88"/>
      <c r="D71" s="88"/>
      <c r="E71" s="88"/>
      <c r="F71" s="88"/>
      <c r="G71" s="88"/>
      <c r="H71" s="88"/>
      <c r="I71" s="88"/>
      <c r="J71" s="88"/>
      <c r="K71" s="88"/>
      <c r="L71" s="88"/>
    </row>
    <row r="72" spans="2:12" ht="17.25" x14ac:dyDescent="0.3">
      <c r="B72" s="11" t="s">
        <v>82</v>
      </c>
    </row>
    <row r="73" spans="2:12" ht="6.75" customHeight="1" x14ac:dyDescent="0.25">
      <c r="B73" s="297"/>
      <c r="C73" s="297"/>
      <c r="D73" s="297"/>
      <c r="E73" s="297"/>
      <c r="F73" s="297"/>
      <c r="G73" s="297"/>
      <c r="H73" s="297"/>
      <c r="I73" s="297"/>
      <c r="J73" s="297"/>
      <c r="K73" s="297"/>
      <c r="L73" s="297"/>
    </row>
    <row r="74" spans="2:12" x14ac:dyDescent="0.25">
      <c r="B74" s="13" t="s">
        <v>83</v>
      </c>
    </row>
    <row r="77" spans="2:12" x14ac:dyDescent="0.25">
      <c r="B77" s="13" t="s">
        <v>87</v>
      </c>
    </row>
    <row r="78" spans="2:12" x14ac:dyDescent="0.25">
      <c r="B78" s="88"/>
      <c r="C78" s="88"/>
      <c r="D78" s="88"/>
      <c r="E78" s="88"/>
      <c r="F78" s="88"/>
      <c r="G78" s="88"/>
      <c r="H78" s="88"/>
      <c r="I78" s="88"/>
      <c r="J78" s="88"/>
      <c r="K78" s="88"/>
      <c r="L78" s="88"/>
    </row>
    <row r="79" spans="2:12" x14ac:dyDescent="0.25">
      <c r="B79" s="297"/>
      <c r="C79" s="297"/>
      <c r="D79" s="297"/>
      <c r="E79" s="297"/>
      <c r="F79" s="297"/>
      <c r="G79" s="297"/>
      <c r="H79" s="297"/>
      <c r="I79" s="297"/>
      <c r="J79" s="297"/>
      <c r="K79" s="297"/>
      <c r="L79" s="297"/>
    </row>
  </sheetData>
  <sheetProtection algorithmName="SHA-512" hashValue="rAnSYvLAWd+PN97JlJAKpDY2JZJqLj+Rjpgw33Zgt0p9P7dd1C+svoXk4C8edEnoZaJWqcl+BcMHzEwSAsWjsQ==" saltValue="8DIzRjDbOJgqqCDh5q/ajQ==" spinCount="100000" sheet="1" objects="1" scenarios="1"/>
  <mergeCells count="11">
    <mergeCell ref="B79:L79"/>
    <mergeCell ref="D2:L5"/>
    <mergeCell ref="B40:L42"/>
    <mergeCell ref="B64:L65"/>
    <mergeCell ref="B69:L70"/>
    <mergeCell ref="B73:L73"/>
    <mergeCell ref="B33:L35"/>
    <mergeCell ref="B12:L16"/>
    <mergeCell ref="B18:L21"/>
    <mergeCell ref="B22:L24"/>
    <mergeCell ref="B29:L32"/>
  </mergeCells>
  <pageMargins left="0.7" right="0.7" top="0.75" bottom="0.75" header="0.3" footer="0.3"/>
  <pageSetup paperSize="9" scale="69" fitToHeight="0"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00B050"/>
    <pageSetUpPr autoPageBreaks="0" fitToPage="1"/>
  </sheetPr>
  <dimension ref="A2:AQ36"/>
  <sheetViews>
    <sheetView showGridLines="0" showRowColHeaders="0" topLeftCell="D1" zoomScaleNormal="100" workbookViewId="0">
      <pane ySplit="7" topLeftCell="A8" activePane="bottomLeft" state="frozen"/>
      <selection activeCell="D1" sqref="D1"/>
      <selection pane="bottomLeft" sqref="A1:D5041"/>
    </sheetView>
  </sheetViews>
  <sheetFormatPr defaultColWidth="9.140625" defaultRowHeight="15" x14ac:dyDescent="0.25"/>
  <cols>
    <col min="1" max="1" width="9.28515625" style="152" hidden="1" customWidth="1"/>
    <col min="2" max="3" width="8.85546875" style="21" hidden="1" customWidth="1"/>
    <col min="4" max="4" width="6.28515625" style="21" customWidth="1"/>
    <col min="5" max="5" width="15.5703125" style="21" customWidth="1"/>
    <col min="6" max="6" width="67.42578125" style="21" customWidth="1"/>
    <col min="7" max="8" width="27" style="21" customWidth="1"/>
    <col min="9" max="9" width="41.7109375" style="83" customWidth="1"/>
    <col min="10" max="11" width="9.140625" style="21" customWidth="1"/>
    <col min="12" max="18" width="9.140625" style="21" hidden="1" customWidth="1"/>
    <col min="19" max="20" width="9.140625" style="21" customWidth="1"/>
    <col min="21" max="25" width="9.140625" style="21" hidden="1" customWidth="1"/>
    <col min="26" max="35" width="9.140625" style="21" customWidth="1"/>
    <col min="36" max="16384" width="9.140625" style="21"/>
  </cols>
  <sheetData>
    <row r="2" spans="1:43" s="53" customFormat="1" ht="15" customHeight="1" x14ac:dyDescent="0.25">
      <c r="A2" s="152"/>
      <c r="B2" s="21"/>
      <c r="C2" s="21"/>
      <c r="D2" s="21"/>
      <c r="E2" s="21"/>
      <c r="F2" s="314" t="str">
        <f>"Results"&amp;IF(LEN(profile_name_of_organisation)=0,""," for "&amp;profile_name_of_organisation)</f>
        <v>Results</v>
      </c>
      <c r="G2" s="314"/>
      <c r="H2" s="314"/>
      <c r="I2" s="314"/>
      <c r="J2" s="106"/>
      <c r="K2" s="106"/>
      <c r="L2" s="106"/>
      <c r="M2" s="106"/>
      <c r="N2" s="106"/>
      <c r="O2" s="106"/>
      <c r="P2" s="106"/>
      <c r="Q2" s="106"/>
      <c r="R2" s="106"/>
      <c r="S2" s="106"/>
      <c r="T2" s="106"/>
      <c r="U2" s="106"/>
      <c r="V2" s="106"/>
      <c r="W2" s="106"/>
      <c r="X2" s="106"/>
    </row>
    <row r="3" spans="1:43" s="53" customFormat="1" ht="15" customHeight="1" x14ac:dyDescent="0.25">
      <c r="A3" s="152"/>
      <c r="B3" s="21"/>
      <c r="C3" s="21"/>
      <c r="D3" s="21"/>
      <c r="E3" s="21"/>
      <c r="F3" s="314"/>
      <c r="G3" s="314"/>
      <c r="H3" s="314"/>
      <c r="I3" s="314"/>
      <c r="J3" s="106"/>
      <c r="K3" s="106"/>
      <c r="L3" s="106"/>
      <c r="M3" s="106"/>
      <c r="N3" s="106"/>
      <c r="O3" s="106"/>
      <c r="P3" s="106"/>
      <c r="Q3" s="106"/>
      <c r="R3" s="106"/>
      <c r="S3" s="106"/>
      <c r="T3" s="106"/>
      <c r="U3" s="106"/>
      <c r="V3" s="106"/>
      <c r="W3" s="106"/>
      <c r="X3" s="106"/>
    </row>
    <row r="4" spans="1:43" s="53" customFormat="1" ht="15" customHeight="1" x14ac:dyDescent="0.25">
      <c r="A4" s="152"/>
      <c r="B4" s="21"/>
      <c r="C4" s="21"/>
      <c r="D4" s="21"/>
      <c r="E4" s="21"/>
      <c r="F4" s="315" t="str">
        <f ca="1">'Assess A'!F2</f>
        <v>Maturity model for Stage A - Preparation</v>
      </c>
      <c r="G4" s="315"/>
      <c r="H4" s="315"/>
      <c r="I4" s="315"/>
      <c r="J4" s="106"/>
      <c r="K4" s="106"/>
      <c r="L4" s="106"/>
      <c r="M4" s="106"/>
      <c r="N4" s="106"/>
      <c r="O4" s="106"/>
      <c r="P4" s="106"/>
      <c r="Q4" s="106"/>
      <c r="R4" s="106"/>
      <c r="S4" s="106"/>
      <c r="T4" s="106"/>
      <c r="U4" s="106"/>
      <c r="V4" s="106"/>
      <c r="W4" s="106"/>
      <c r="X4" s="106"/>
    </row>
    <row r="5" spans="1:43" s="53" customFormat="1" ht="15" customHeight="1" x14ac:dyDescent="0.25">
      <c r="A5" s="152"/>
      <c r="B5" s="21"/>
      <c r="C5" s="21"/>
      <c r="D5" s="21"/>
      <c r="E5" s="21"/>
      <c r="F5" s="315"/>
      <c r="G5" s="315"/>
      <c r="H5" s="315"/>
      <c r="I5" s="315"/>
      <c r="J5" s="106"/>
      <c r="K5" s="106"/>
      <c r="L5" s="106"/>
      <c r="M5" s="106"/>
      <c r="N5" s="106"/>
      <c r="O5" s="106"/>
      <c r="P5" s="106"/>
      <c r="Q5" s="106"/>
      <c r="R5" s="106"/>
      <c r="S5" s="106"/>
      <c r="T5" s="106"/>
      <c r="U5" s="106"/>
      <c r="V5" s="106"/>
      <c r="W5" s="106"/>
      <c r="X5" s="106"/>
    </row>
    <row r="7" spans="1:43" ht="19.5" x14ac:dyDescent="0.3">
      <c r="A7" s="9" t="s">
        <v>67</v>
      </c>
      <c r="B7" s="65" t="s">
        <v>72</v>
      </c>
      <c r="C7" s="13" t="s">
        <v>71</v>
      </c>
      <c r="F7" s="54"/>
      <c r="G7" s="59" t="s">
        <v>140</v>
      </c>
      <c r="H7" s="60" t="s">
        <v>133</v>
      </c>
      <c r="I7" s="84" t="s">
        <v>48</v>
      </c>
      <c r="AD7" s="230"/>
      <c r="AE7" s="230"/>
      <c r="AF7" s="230"/>
      <c r="AG7" s="231"/>
      <c r="AH7" s="230"/>
      <c r="AI7" s="231"/>
    </row>
    <row r="8" spans="1:43" s="125" customFormat="1" ht="30" customHeight="1" x14ac:dyDescent="0.25">
      <c r="A8" s="134">
        <v>2</v>
      </c>
      <c r="B8" s="117" t="str">
        <f t="shared" ref="B8:B28" si="0">VLOOKUP(A8,contentrefmockup,2,FALSE)</f>
        <v>A.1</v>
      </c>
      <c r="C8" s="118">
        <f t="shared" ref="C8:C28" si="1">VLOOKUP(A8,contentrefmockup,15,FALSE)</f>
        <v>2</v>
      </c>
      <c r="D8" s="214"/>
      <c r="E8" s="142" t="str">
        <f t="shared" ref="E8:E28" si="2">IF(C8=1,"Phase "&amp;B8,IF(C8=2,"Step "&amp;VLOOKUP(A8,contentrefmockup,4,FALSE),B8))</f>
        <v>Step 1</v>
      </c>
      <c r="F8" s="224" t="str">
        <f t="shared" ref="F8:F28" si="3">VLOOKUP(A8,contentrefmockup,7,FALSE)</f>
        <v>Maintain a technical security assurance framework</v>
      </c>
      <c r="G8" s="175" t="str">
        <f ca="1">"Maturity level:  "&amp;O8</f>
        <v>Maturity level:  Level 1</v>
      </c>
      <c r="H8" s="176"/>
      <c r="I8" s="225"/>
      <c r="J8" s="226"/>
      <c r="K8" s="226"/>
      <c r="L8" s="226" t="str">
        <f>TEXT(B8,"0.0")</f>
        <v>A.1</v>
      </c>
      <c r="M8" s="213">
        <f ca="1">SUMIF(Y:Y,L8,G:G)/(SUMIF(Y:Y,L8,X:X))</f>
        <v>0</v>
      </c>
      <c r="N8" s="213" t="str">
        <f ca="1">HLOOKUP(M8*100,level_ref,2,TRUE)</f>
        <v>Level 1</v>
      </c>
      <c r="O8" s="213" t="str">
        <f ca="1">IF(ISERROR(N8),"",N8)</f>
        <v>Level 1</v>
      </c>
      <c r="P8" s="213">
        <f ca="1">HLOOKUP(M8*100,level_ref,3,TRUE)</f>
        <v>1</v>
      </c>
      <c r="Q8" s="213">
        <f ca="1">IF(ISERROR(P8),"",P8)</f>
        <v>1</v>
      </c>
      <c r="R8" s="213">
        <f ca="1">M8*5</f>
        <v>0</v>
      </c>
      <c r="S8" s="213"/>
      <c r="T8" s="213"/>
      <c r="U8" s="213" t="str">
        <f ca="1">IF(AND(C8&gt;4,VLOOKUP(A8,Assess_A_Reference,34,FALSE)&lt;&gt;8),LEFT(B8,3),"")</f>
        <v/>
      </c>
      <c r="V8" s="213">
        <f ca="1">VLOOKUP(A8,Weightings_Assessments,24,FALSE)</f>
        <v>0</v>
      </c>
      <c r="W8" s="213">
        <f ca="1">IF(VLOOKUP(A8,Assess_A_Reference,34,FALSE)=8,0,1)</f>
        <v>1</v>
      </c>
      <c r="X8" s="213">
        <f ca="1">W8*V8*4</f>
        <v>0</v>
      </c>
      <c r="Y8" s="125" t="str">
        <f ca="1">AG8&amp;U8</f>
        <v/>
      </c>
      <c r="Z8" s="215"/>
      <c r="AA8" s="215"/>
      <c r="AB8" s="215"/>
      <c r="AC8" s="215"/>
      <c r="AD8" s="81"/>
      <c r="AE8" s="81"/>
      <c r="AF8" s="81"/>
      <c r="AG8" s="77"/>
      <c r="AH8" s="81"/>
      <c r="AI8" s="77"/>
      <c r="AJ8" s="215"/>
      <c r="AK8" s="215"/>
      <c r="AL8" s="215"/>
      <c r="AM8" s="215"/>
      <c r="AN8" s="215"/>
      <c r="AO8" s="215"/>
      <c r="AP8" s="215"/>
      <c r="AQ8" s="215"/>
    </row>
    <row r="9" spans="1:43" s="125" customFormat="1" ht="45" x14ac:dyDescent="0.25">
      <c r="A9" s="134">
        <v>3</v>
      </c>
      <c r="B9" s="117" t="str">
        <f t="shared" si="0"/>
        <v>A.1.01</v>
      </c>
      <c r="C9" s="118">
        <f t="shared" si="1"/>
        <v>5</v>
      </c>
      <c r="D9" s="87"/>
      <c r="E9" s="119" t="str">
        <f t="shared" si="2"/>
        <v>A.1.01</v>
      </c>
      <c r="F9" s="120" t="str">
        <f t="shared" si="3"/>
        <v>Do you maintain an approved technical security assurance framework, which is focused on protecting your most critical information and systems?</v>
      </c>
      <c r="G9" s="177" t="str">
        <f ca="1">VLOOKUP($A9,Assess_A_Reference,15,FALSE)</f>
        <v/>
      </c>
      <c r="H9" s="177">
        <f ca="1">(VLOOKUP(LEFT($B9,3),targets_lookup,5,FALSE))*VLOOKUP($A9,Weightings_Assessments,23,FALSE)</f>
        <v>2</v>
      </c>
      <c r="I9" s="120" t="str">
        <f ca="1">IF(VLOOKUP(A9,Assess_A_Reference,16,FALSE)=0,"",VLOOKUP(A9,Assess_A_Reference,16,FALSE))</f>
        <v/>
      </c>
      <c r="J9" s="118"/>
      <c r="K9" s="118"/>
      <c r="L9" s="118"/>
      <c r="M9" s="118"/>
      <c r="N9" s="118"/>
      <c r="O9" s="118"/>
      <c r="P9" s="118"/>
      <c r="Q9" s="118"/>
      <c r="R9" s="118"/>
      <c r="S9" s="118"/>
      <c r="T9" s="123"/>
      <c r="U9" s="213" t="str">
        <f ca="1">IF(AND(C9&gt;4,VLOOKUP(A9,Assess_A_Reference,34,FALSE)&lt;&gt;8),LEFT(B9,3),"")</f>
        <v>A.1</v>
      </c>
      <c r="V9" s="213">
        <f ca="1">VLOOKUP(A9,Weightings_Assessments,24,FALSE)</f>
        <v>1</v>
      </c>
      <c r="W9" s="213">
        <f ca="1">IF(VLOOKUP(A9,Assess_A_Reference,34,FALSE)=8,0,1)</f>
        <v>1</v>
      </c>
      <c r="X9" s="213">
        <f ca="1">W9*V9*4</f>
        <v>4</v>
      </c>
      <c r="Y9" s="125" t="str">
        <f ca="1">AG9&amp;U9</f>
        <v>A.1</v>
      </c>
      <c r="Z9" s="74"/>
      <c r="AA9" s="74"/>
      <c r="AB9" s="74"/>
      <c r="AC9" s="74"/>
      <c r="AD9" s="81"/>
      <c r="AE9" s="81"/>
      <c r="AF9" s="81"/>
      <c r="AG9" s="77"/>
      <c r="AH9" s="81"/>
      <c r="AI9" s="77"/>
      <c r="AJ9" s="74"/>
      <c r="AK9" s="74"/>
      <c r="AL9" s="74"/>
      <c r="AM9" s="74"/>
      <c r="AN9" s="74"/>
      <c r="AO9" s="74"/>
      <c r="AP9" s="74"/>
      <c r="AQ9" s="74"/>
    </row>
    <row r="10" spans="1:43" s="125" customFormat="1" ht="120" x14ac:dyDescent="0.25">
      <c r="A10" s="134">
        <v>4</v>
      </c>
      <c r="B10" s="117" t="str">
        <f t="shared" si="0"/>
        <v/>
      </c>
      <c r="C10" s="118">
        <f t="shared" si="1"/>
        <v>3</v>
      </c>
      <c r="D10" s="87"/>
      <c r="E10" s="119" t="str">
        <f t="shared" si="2"/>
        <v/>
      </c>
      <c r="F10" s="138" t="str">
        <f t="shared" si="3"/>
        <v>A technical security assurance framework would typically include multiple environments for testing, a security architecture, an ongoing security monitoring services (e.g. in a SOC), an adequate range of technical security services and a balanced selection of preventative, detective and reactive security controls; supported by sufficient budget, skilled resources, processes, tools and technologies, adequate management support and an IT or Cyber security risk management programme.</v>
      </c>
      <c r="G10" s="177"/>
      <c r="H10" s="177"/>
      <c r="I10" s="120"/>
      <c r="J10" s="118"/>
      <c r="K10" s="118"/>
      <c r="L10" s="118"/>
      <c r="M10" s="118"/>
      <c r="N10" s="118"/>
      <c r="O10" s="118"/>
      <c r="P10" s="118"/>
      <c r="Q10" s="118"/>
      <c r="R10" s="118"/>
      <c r="S10" s="118"/>
      <c r="T10" s="123"/>
      <c r="U10" s="123"/>
      <c r="V10" s="123"/>
      <c r="W10" s="123"/>
      <c r="X10" s="123"/>
      <c r="Z10" s="74"/>
      <c r="AA10" s="74"/>
      <c r="AB10" s="74"/>
      <c r="AC10" s="74"/>
      <c r="AD10" s="81"/>
      <c r="AE10" s="81"/>
      <c r="AF10" s="81"/>
      <c r="AG10" s="77"/>
      <c r="AH10" s="81"/>
      <c r="AI10" s="77"/>
      <c r="AJ10" s="74"/>
      <c r="AK10" s="74"/>
      <c r="AL10" s="74"/>
      <c r="AM10" s="74"/>
      <c r="AN10" s="74"/>
      <c r="AO10" s="74"/>
      <c r="AP10" s="74"/>
      <c r="AQ10" s="74"/>
    </row>
    <row r="11" spans="1:43" s="125" customFormat="1" ht="30" customHeight="1" x14ac:dyDescent="0.25">
      <c r="A11" s="134">
        <v>5</v>
      </c>
      <c r="B11" s="117" t="str">
        <f t="shared" si="0"/>
        <v>A.2</v>
      </c>
      <c r="C11" s="118">
        <f t="shared" si="1"/>
        <v>2</v>
      </c>
      <c r="D11" s="87"/>
      <c r="E11" s="142" t="str">
        <f t="shared" si="2"/>
        <v>Step 2</v>
      </c>
      <c r="F11" s="224" t="str">
        <f t="shared" si="3"/>
        <v>Establish a penetration testing governance structure</v>
      </c>
      <c r="G11" s="175" t="str">
        <f ca="1">"Maturity level:  "&amp;O11</f>
        <v>Maturity level:  Level 1</v>
      </c>
      <c r="H11" s="176"/>
      <c r="I11" s="225"/>
      <c r="J11" s="226"/>
      <c r="K11" s="226"/>
      <c r="L11" s="226" t="str">
        <f>TEXT(B11,"0.0")</f>
        <v>A.2</v>
      </c>
      <c r="M11" s="213">
        <f ca="1">SUMIF(Y:Y,L11,G:G)/(SUMIF(Y:Y,L11,X:X))</f>
        <v>0</v>
      </c>
      <c r="N11" s="213" t="str">
        <f ca="1">HLOOKUP(M11*100,level_ref,2,TRUE)</f>
        <v>Level 1</v>
      </c>
      <c r="O11" s="213" t="str">
        <f ca="1">IF(ISERROR(N11),"",N11)</f>
        <v>Level 1</v>
      </c>
      <c r="P11" s="213">
        <f ca="1">HLOOKUP(M11*100,level_ref,3,TRUE)</f>
        <v>1</v>
      </c>
      <c r="Q11" s="213">
        <f ca="1">IF(ISERROR(P11),"",P11)</f>
        <v>1</v>
      </c>
      <c r="R11" s="213">
        <f ca="1">M11*5</f>
        <v>0</v>
      </c>
      <c r="S11" s="213"/>
      <c r="T11" s="213"/>
      <c r="U11" s="213" t="str">
        <f ca="1">IF(AND(C11&gt;4,VLOOKUP(A11,Assess_A_Reference,34,FALSE)&lt;&gt;8),LEFT(B11,3),"")</f>
        <v/>
      </c>
      <c r="V11" s="213">
        <f ca="1">VLOOKUP(A11,Weightings_Assessments,24,FALSE)</f>
        <v>0</v>
      </c>
      <c r="W11" s="213">
        <f ca="1">IF(VLOOKUP(A11,Assess_A_Reference,34,FALSE)=8,0,1)</f>
        <v>1</v>
      </c>
      <c r="X11" s="213">
        <f ca="1">W11*V11*4</f>
        <v>0</v>
      </c>
      <c r="Y11" s="125" t="str">
        <f ca="1">AG11&amp;U11</f>
        <v/>
      </c>
      <c r="Z11" s="74"/>
      <c r="AA11" s="74"/>
      <c r="AB11" s="74"/>
      <c r="AC11" s="74"/>
      <c r="AD11" s="81"/>
      <c r="AE11" s="81"/>
      <c r="AF11" s="81"/>
      <c r="AG11" s="77"/>
      <c r="AH11" s="81"/>
      <c r="AI11" s="77"/>
      <c r="AJ11" s="74"/>
      <c r="AK11" s="74"/>
      <c r="AL11" s="74"/>
      <c r="AM11" s="74"/>
      <c r="AN11" s="74"/>
      <c r="AO11" s="74"/>
      <c r="AP11" s="74"/>
      <c r="AQ11" s="74"/>
    </row>
    <row r="12" spans="1:43" s="125" customFormat="1" ht="30" x14ac:dyDescent="0.25">
      <c r="A12" s="134">
        <v>6</v>
      </c>
      <c r="B12" s="117" t="str">
        <f t="shared" si="0"/>
        <v>A.2.01</v>
      </c>
      <c r="C12" s="118">
        <f t="shared" si="1"/>
        <v>5</v>
      </c>
      <c r="D12" s="87"/>
      <c r="E12" s="119" t="str">
        <f t="shared" si="2"/>
        <v>A.2.01</v>
      </c>
      <c r="F12" s="120" t="str">
        <f t="shared" si="3"/>
        <v>Have you established a suitable governance structure to oversee and coordinate a regular penetration testing programme?</v>
      </c>
      <c r="G12" s="177" t="str">
        <f ca="1">VLOOKUP($A12,Assess_A_Reference,15,FALSE)</f>
        <v/>
      </c>
      <c r="H12" s="177">
        <f ca="1">(VLOOKUP(LEFT($B12,3),targets_lookup,5,FALSE))*VLOOKUP($A12,Weightings_Assessments,23,FALSE)</f>
        <v>2</v>
      </c>
      <c r="I12" s="120" t="str">
        <f ca="1">IF(VLOOKUP(A12,Assess_A_Reference,16,FALSE)=0,"",VLOOKUP(A12,Assess_A_Reference,16,FALSE))</f>
        <v/>
      </c>
      <c r="J12" s="118"/>
      <c r="K12" s="118"/>
      <c r="L12" s="118"/>
      <c r="M12" s="118"/>
      <c r="N12" s="118"/>
      <c r="O12" s="118"/>
      <c r="P12" s="118"/>
      <c r="Q12" s="118"/>
      <c r="R12" s="118"/>
      <c r="S12" s="118"/>
      <c r="T12" s="123"/>
      <c r="U12" s="213" t="str">
        <f ca="1">IF(AND(C12&gt;4,VLOOKUP(A12,Assess_A_Reference,34,FALSE)&lt;&gt;8),LEFT(B12,3),"")</f>
        <v>A.2</v>
      </c>
      <c r="V12" s="213">
        <f ca="1">VLOOKUP(A12,Weightings_Assessments,24,FALSE)</f>
        <v>1</v>
      </c>
      <c r="W12" s="213">
        <f ca="1">IF(VLOOKUP(A12,Assess_A_Reference,34,FALSE)=8,0,1)</f>
        <v>1</v>
      </c>
      <c r="X12" s="213">
        <f ca="1">W12*V12*4</f>
        <v>4</v>
      </c>
      <c r="Y12" s="125" t="str">
        <f ca="1">AG12&amp;U12</f>
        <v>A.2</v>
      </c>
      <c r="Z12" s="74"/>
      <c r="AA12" s="74"/>
      <c r="AB12" s="74"/>
      <c r="AC12" s="74"/>
      <c r="AD12" s="81"/>
      <c r="AE12" s="81"/>
      <c r="AF12" s="81"/>
      <c r="AG12" s="77"/>
      <c r="AH12" s="81"/>
      <c r="AI12" s="77"/>
      <c r="AJ12" s="74"/>
      <c r="AK12" s="74"/>
      <c r="AL12" s="74"/>
      <c r="AM12" s="74"/>
      <c r="AN12" s="74"/>
      <c r="AO12" s="74"/>
      <c r="AP12" s="74"/>
      <c r="AQ12" s="74"/>
    </row>
    <row r="13" spans="1:43" s="125" customFormat="1" ht="135" x14ac:dyDescent="0.25">
      <c r="A13" s="134">
        <v>7</v>
      </c>
      <c r="B13" s="117" t="str">
        <f t="shared" si="0"/>
        <v/>
      </c>
      <c r="C13" s="118">
        <f t="shared" si="1"/>
        <v>3</v>
      </c>
      <c r="D13" s="87"/>
      <c r="E13" s="119" t="str">
        <f t="shared" si="2"/>
        <v/>
      </c>
      <c r="F13" s="138" t="str">
        <f t="shared" si="3"/>
        <v>An effective governance structure for penetration testing would typically cover all main systems enterprise-wide (while focusing on the most critical), through a penetration testing programme that includes penetration testing processes and methodologies, supplier selection criteria, and a penetration testing assurance management framework; supported by a joint management and technical team to agree the programme and scope of regular penetration testing, an effective change management process and a set of key performance indicators for the results of the penetration tests.</v>
      </c>
      <c r="G13" s="177"/>
      <c r="H13" s="177"/>
      <c r="I13" s="120"/>
      <c r="J13" s="118"/>
      <c r="K13" s="118"/>
      <c r="L13" s="118"/>
      <c r="M13" s="118"/>
      <c r="N13" s="118"/>
      <c r="O13" s="118"/>
      <c r="P13" s="118"/>
      <c r="Q13" s="118"/>
      <c r="R13" s="118"/>
      <c r="S13" s="118"/>
      <c r="T13" s="123"/>
      <c r="U13" s="123"/>
      <c r="V13" s="123"/>
      <c r="W13" s="123"/>
      <c r="X13" s="123"/>
      <c r="Z13" s="74"/>
      <c r="AA13" s="74"/>
      <c r="AB13" s="74"/>
      <c r="AC13" s="74"/>
      <c r="AD13" s="81"/>
      <c r="AE13" s="81"/>
      <c r="AF13" s="81"/>
      <c r="AG13" s="77"/>
      <c r="AH13" s="81"/>
      <c r="AI13" s="77"/>
      <c r="AJ13" s="74"/>
      <c r="AK13" s="74"/>
      <c r="AL13" s="74"/>
      <c r="AM13" s="74"/>
      <c r="AN13" s="74"/>
      <c r="AO13" s="74"/>
      <c r="AP13" s="74"/>
      <c r="AQ13" s="74"/>
    </row>
    <row r="14" spans="1:43" s="125" customFormat="1" ht="30" customHeight="1" x14ac:dyDescent="0.25">
      <c r="A14" s="134">
        <v>8</v>
      </c>
      <c r="B14" s="117" t="str">
        <f t="shared" si="0"/>
        <v>A.3</v>
      </c>
      <c r="C14" s="118">
        <f t="shared" si="1"/>
        <v>2</v>
      </c>
      <c r="D14" s="87"/>
      <c r="E14" s="142" t="str">
        <f t="shared" si="2"/>
        <v>Step 3</v>
      </c>
      <c r="F14" s="224" t="str">
        <f t="shared" si="3"/>
        <v>Evaluate drivers for conducting penetration tests</v>
      </c>
      <c r="G14" s="175" t="str">
        <f ca="1">"Maturity level:  "&amp;O14</f>
        <v>Maturity level:  Level 1</v>
      </c>
      <c r="H14" s="176"/>
      <c r="I14" s="225"/>
      <c r="J14" s="226"/>
      <c r="K14" s="226"/>
      <c r="L14" s="226" t="str">
        <f>TEXT(B14,"0.0")</f>
        <v>A.3</v>
      </c>
      <c r="M14" s="213">
        <f ca="1">SUMIF(Y:Y,L14,G:G)/(SUMIF(Y:Y,L14,X:X))</f>
        <v>0</v>
      </c>
      <c r="N14" s="213" t="str">
        <f ca="1">HLOOKUP(M14*100,level_ref,2,TRUE)</f>
        <v>Level 1</v>
      </c>
      <c r="O14" s="213" t="str">
        <f ca="1">IF(ISERROR(N14),"",N14)</f>
        <v>Level 1</v>
      </c>
      <c r="P14" s="213">
        <f ca="1">HLOOKUP(M14*100,level_ref,3,TRUE)</f>
        <v>1</v>
      </c>
      <c r="Q14" s="213">
        <f ca="1">IF(ISERROR(P14),"",P14)</f>
        <v>1</v>
      </c>
      <c r="R14" s="213">
        <f ca="1">M14*5</f>
        <v>0</v>
      </c>
      <c r="S14" s="213"/>
      <c r="T14" s="213"/>
      <c r="U14" s="213" t="str">
        <f ca="1">IF(AND(C14&gt;4,VLOOKUP(A14,Assess_A_Reference,34,FALSE)&lt;&gt;8),LEFT(B14,3),"")</f>
        <v/>
      </c>
      <c r="V14" s="213">
        <f ca="1">VLOOKUP(A14,Weightings_Assessments,24,FALSE)</f>
        <v>0</v>
      </c>
      <c r="W14" s="213">
        <f ca="1">IF(VLOOKUP(A14,Assess_A_Reference,34,FALSE)=8,0,1)</f>
        <v>1</v>
      </c>
      <c r="X14" s="213">
        <f ca="1">W14*V14*4</f>
        <v>0</v>
      </c>
      <c r="Y14" s="125" t="str">
        <f ca="1">AG14&amp;U14</f>
        <v/>
      </c>
      <c r="Z14" s="74"/>
      <c r="AA14" s="74"/>
      <c r="AB14" s="74"/>
      <c r="AC14" s="74"/>
      <c r="AD14" s="81"/>
      <c r="AE14" s="81"/>
      <c r="AF14" s="81"/>
      <c r="AG14" s="77"/>
      <c r="AH14" s="81"/>
      <c r="AI14" s="77"/>
      <c r="AJ14" s="74"/>
      <c r="AK14" s="74"/>
      <c r="AL14" s="74"/>
      <c r="AM14" s="74"/>
      <c r="AN14" s="74"/>
      <c r="AO14" s="74"/>
      <c r="AP14" s="74"/>
      <c r="AQ14" s="74"/>
    </row>
    <row r="15" spans="1:43" s="125" customFormat="1" ht="60" x14ac:dyDescent="0.25">
      <c r="A15" s="134">
        <v>9</v>
      </c>
      <c r="B15" s="117" t="str">
        <f t="shared" si="0"/>
        <v>A.3.01</v>
      </c>
      <c r="C15" s="118">
        <f t="shared" si="1"/>
        <v>5</v>
      </c>
      <c r="D15" s="87"/>
      <c r="E15" s="119" t="str">
        <f t="shared" si="2"/>
        <v>A.3.01</v>
      </c>
      <c r="F15" s="120" t="str">
        <f t="shared" si="3"/>
        <v>Have you identified drivers for carrying out penetration tests as part of a technical assurance programme, based on an evaluation of relevant criteria, such as the impact of serious incidents, increased threat levels or significant changes to business or IT processes?</v>
      </c>
      <c r="G15" s="177" t="str">
        <f ca="1">VLOOKUP($A15,Assess_A_Reference,15,FALSE)</f>
        <v/>
      </c>
      <c r="H15" s="177">
        <f ca="1">(VLOOKUP(LEFT($B15,3),targets_lookup,5,FALSE))*VLOOKUP($A15,Weightings_Assessments,23,FALSE)</f>
        <v>2</v>
      </c>
      <c r="I15" s="120" t="str">
        <f ca="1">IF(VLOOKUP(A15,Assess_A_Reference,16,FALSE)=0,"",VLOOKUP(A15,Assess_A_Reference,16,FALSE))</f>
        <v/>
      </c>
      <c r="J15" s="118"/>
      <c r="K15" s="118"/>
      <c r="L15" s="118"/>
      <c r="M15" s="118"/>
      <c r="N15" s="118"/>
      <c r="O15" s="118"/>
      <c r="P15" s="118"/>
      <c r="Q15" s="118"/>
      <c r="R15" s="118"/>
      <c r="S15" s="118"/>
      <c r="T15" s="123"/>
      <c r="U15" s="213" t="str">
        <f ca="1">IF(AND(C15&gt;4,VLOOKUP(A15,Assess_A_Reference,34,FALSE)&lt;&gt;8),LEFT(B15,3),"")</f>
        <v>A.3</v>
      </c>
      <c r="V15" s="213">
        <f ca="1">VLOOKUP(A15,Weightings_Assessments,24,FALSE)</f>
        <v>1</v>
      </c>
      <c r="W15" s="213">
        <f ca="1">IF(VLOOKUP(A15,Assess_A_Reference,34,FALSE)=8,0,1)</f>
        <v>1</v>
      </c>
      <c r="X15" s="213">
        <f ca="1">W15*V15*4</f>
        <v>4</v>
      </c>
      <c r="Y15" s="125" t="str">
        <f ca="1">AG15&amp;U15</f>
        <v>A.3</v>
      </c>
      <c r="Z15" s="74"/>
      <c r="AA15" s="74"/>
      <c r="AB15" s="74"/>
      <c r="AC15" s="74"/>
      <c r="AD15" s="81"/>
      <c r="AE15" s="81"/>
      <c r="AF15" s="81"/>
      <c r="AG15" s="77"/>
      <c r="AH15" s="81"/>
      <c r="AI15" s="77"/>
      <c r="AJ15" s="74"/>
      <c r="AK15" s="74"/>
      <c r="AL15" s="74"/>
      <c r="AM15" s="74"/>
      <c r="AN15" s="74"/>
      <c r="AO15" s="74"/>
      <c r="AP15" s="74"/>
      <c r="AQ15" s="74"/>
    </row>
    <row r="16" spans="1:43" s="125" customFormat="1" ht="90" x14ac:dyDescent="0.25">
      <c r="A16" s="134">
        <v>10</v>
      </c>
      <c r="B16" s="117" t="str">
        <f t="shared" si="0"/>
        <v/>
      </c>
      <c r="C16" s="118">
        <f t="shared" si="1"/>
        <v>3</v>
      </c>
      <c r="D16" s="87"/>
      <c r="E16" s="119" t="str">
        <f t="shared" si="2"/>
        <v/>
      </c>
      <c r="F16" s="138" t="str">
        <f t="shared" si="3"/>
        <v>Drivers for carrying out penetration tests should: be placed within a wider context of security assessment and strategy to contextualise the findings and recommendations; focus on ensuring that major system vulnerabilities are identified and addressed; and help to reduce the risk of discovering that the same problems still exist the next time a penetration test is carried out.</v>
      </c>
      <c r="G16" s="177"/>
      <c r="H16" s="177"/>
      <c r="I16" s="120"/>
      <c r="J16" s="118"/>
      <c r="K16" s="118"/>
      <c r="L16" s="118"/>
      <c r="M16" s="118"/>
      <c r="N16" s="118"/>
      <c r="O16" s="118"/>
      <c r="P16" s="118"/>
      <c r="Q16" s="118"/>
      <c r="R16" s="118"/>
      <c r="S16" s="118"/>
      <c r="T16" s="123"/>
      <c r="U16" s="123"/>
      <c r="V16" s="123"/>
      <c r="W16" s="123"/>
      <c r="X16" s="123"/>
      <c r="Z16" s="74"/>
      <c r="AA16" s="74"/>
      <c r="AB16" s="74"/>
      <c r="AC16" s="74"/>
      <c r="AD16" s="81"/>
      <c r="AE16" s="81"/>
      <c r="AF16" s="81"/>
      <c r="AG16" s="77"/>
      <c r="AH16" s="81"/>
      <c r="AI16" s="77"/>
      <c r="AJ16" s="74"/>
      <c r="AK16" s="74"/>
      <c r="AL16" s="74"/>
      <c r="AM16" s="74"/>
      <c r="AN16" s="74"/>
      <c r="AO16" s="74"/>
      <c r="AP16" s="74"/>
      <c r="AQ16" s="74"/>
    </row>
    <row r="17" spans="1:43" s="125" customFormat="1" ht="30" customHeight="1" x14ac:dyDescent="0.25">
      <c r="A17" s="134">
        <v>11</v>
      </c>
      <c r="B17" s="117" t="str">
        <f t="shared" si="0"/>
        <v>A.4</v>
      </c>
      <c r="C17" s="118">
        <f t="shared" si="1"/>
        <v>2</v>
      </c>
      <c r="D17" s="87"/>
      <c r="E17" s="142" t="str">
        <f t="shared" si="2"/>
        <v>Step 4</v>
      </c>
      <c r="F17" s="224" t="str">
        <f t="shared" si="3"/>
        <v>Identify target environments</v>
      </c>
      <c r="G17" s="175" t="str">
        <f ca="1">"Maturity level:  "&amp;O17</f>
        <v>Maturity level:  Level 1</v>
      </c>
      <c r="H17" s="176"/>
      <c r="I17" s="225"/>
      <c r="J17" s="226"/>
      <c r="K17" s="226"/>
      <c r="L17" s="226" t="str">
        <f>TEXT(B17,"0.0")</f>
        <v>A.4</v>
      </c>
      <c r="M17" s="213">
        <f ca="1">SUMIF(Y:Y,L17,G:G)/(SUMIF(Y:Y,L17,X:X))</f>
        <v>0</v>
      </c>
      <c r="N17" s="213" t="str">
        <f ca="1">HLOOKUP(M17*100,level_ref,2,TRUE)</f>
        <v>Level 1</v>
      </c>
      <c r="O17" s="213" t="str">
        <f ca="1">IF(ISERROR(N17),"",N17)</f>
        <v>Level 1</v>
      </c>
      <c r="P17" s="213">
        <f ca="1">HLOOKUP(M17*100,level_ref,3,TRUE)</f>
        <v>1</v>
      </c>
      <c r="Q17" s="213">
        <f ca="1">IF(ISERROR(P17),"",P17)</f>
        <v>1</v>
      </c>
      <c r="R17" s="213">
        <f ca="1">M17*5</f>
        <v>0</v>
      </c>
      <c r="S17" s="213"/>
      <c r="T17" s="213"/>
      <c r="U17" s="213" t="str">
        <f ca="1">IF(AND(C17&gt;4,VLOOKUP(A17,Assess_A_Reference,34,FALSE)&lt;&gt;8),LEFT(B17,3),"")</f>
        <v/>
      </c>
      <c r="V17" s="213">
        <f ca="1">VLOOKUP(A17,Weightings_Assessments,24,FALSE)</f>
        <v>0</v>
      </c>
      <c r="W17" s="213">
        <f ca="1">IF(VLOOKUP(A17,Assess_A_Reference,34,FALSE)=8,0,1)</f>
        <v>1</v>
      </c>
      <c r="X17" s="213">
        <f ca="1">W17*V17*4</f>
        <v>0</v>
      </c>
      <c r="Y17" s="125" t="str">
        <f ca="1">AG17&amp;U17</f>
        <v/>
      </c>
      <c r="Z17" s="74"/>
      <c r="AA17" s="74"/>
      <c r="AB17" s="74"/>
      <c r="AC17" s="74"/>
      <c r="AD17" s="81"/>
      <c r="AE17" s="81"/>
      <c r="AF17" s="81"/>
      <c r="AG17" s="77"/>
      <c r="AH17" s="81"/>
      <c r="AI17" s="77"/>
      <c r="AJ17" s="74"/>
      <c r="AK17" s="74"/>
      <c r="AL17" s="74"/>
      <c r="AM17" s="74"/>
      <c r="AN17" s="74"/>
      <c r="AO17" s="74"/>
      <c r="AP17" s="74"/>
      <c r="AQ17" s="74"/>
    </row>
    <row r="18" spans="1:43" s="125" customFormat="1" ht="45" x14ac:dyDescent="0.25">
      <c r="A18" s="134">
        <v>12</v>
      </c>
      <c r="B18" s="117" t="str">
        <f t="shared" si="0"/>
        <v>A.4.01</v>
      </c>
      <c r="C18" s="118">
        <f t="shared" si="1"/>
        <v>5</v>
      </c>
      <c r="D18" s="87"/>
      <c r="E18" s="119" t="str">
        <f t="shared" si="2"/>
        <v>A.4.01</v>
      </c>
      <c r="F18" s="120" t="str">
        <f t="shared" si="3"/>
        <v>Have you identified target environments that need to be subject to penetration testing, such as critical web applications and important IT infrastructure?</v>
      </c>
      <c r="G18" s="177" t="str">
        <f ca="1">VLOOKUP($A18,Assess_A_Reference,15,FALSE)</f>
        <v/>
      </c>
      <c r="H18" s="177">
        <f ca="1">(VLOOKUP(LEFT($B18,3),targets_lookup,5,FALSE))*VLOOKUP($A18,Weightings_Assessments,23,FALSE)</f>
        <v>2</v>
      </c>
      <c r="I18" s="120" t="str">
        <f ca="1">IF(VLOOKUP(A18,Assess_A_Reference,16,FALSE)=0,"",VLOOKUP(A18,Assess_A_Reference,16,FALSE))</f>
        <v/>
      </c>
      <c r="J18" s="118"/>
      <c r="K18" s="118"/>
      <c r="L18" s="118"/>
      <c r="M18" s="118"/>
      <c r="N18" s="118"/>
      <c r="O18" s="118"/>
      <c r="P18" s="118"/>
      <c r="Q18" s="118"/>
      <c r="R18" s="118"/>
      <c r="S18" s="118"/>
      <c r="T18" s="123"/>
      <c r="U18" s="213" t="str">
        <f ca="1">IF(AND(C18&gt;4,VLOOKUP(A18,Assess_A_Reference,34,FALSE)&lt;&gt;8),LEFT(B18,3),"")</f>
        <v>A.4</v>
      </c>
      <c r="V18" s="213">
        <f ca="1">VLOOKUP(A18,Weightings_Assessments,24,FALSE)</f>
        <v>1</v>
      </c>
      <c r="W18" s="213">
        <f ca="1">IF(VLOOKUP(A18,Assess_A_Reference,34,FALSE)=8,0,1)</f>
        <v>1</v>
      </c>
      <c r="X18" s="213">
        <f ca="1">W18*V18*4</f>
        <v>4</v>
      </c>
      <c r="Y18" s="125" t="str">
        <f ca="1">AG18&amp;U18</f>
        <v>A.4</v>
      </c>
      <c r="Z18" s="74"/>
      <c r="AA18" s="74"/>
      <c r="AB18" s="74"/>
      <c r="AC18" s="74"/>
      <c r="AD18" s="81"/>
      <c r="AE18" s="81"/>
      <c r="AF18" s="81"/>
      <c r="AG18" s="77"/>
      <c r="AH18" s="81"/>
      <c r="AI18" s="77"/>
      <c r="AJ18" s="74"/>
      <c r="AK18" s="74"/>
      <c r="AL18" s="74"/>
      <c r="AM18" s="74"/>
      <c r="AN18" s="74"/>
      <c r="AO18" s="74"/>
      <c r="AP18" s="74"/>
      <c r="AQ18" s="74"/>
    </row>
    <row r="19" spans="1:43" s="125" customFormat="1" ht="75" x14ac:dyDescent="0.25">
      <c r="A19" s="134">
        <v>13</v>
      </c>
      <c r="B19" s="117" t="str">
        <f t="shared" si="0"/>
        <v/>
      </c>
      <c r="C19" s="118">
        <f t="shared" si="1"/>
        <v>3</v>
      </c>
      <c r="D19" s="87"/>
      <c r="E19" s="119" t="str">
        <f t="shared" si="2"/>
        <v/>
      </c>
      <c r="F19" s="138" t="str">
        <f t="shared" si="3"/>
        <v>Identification of target environments that need to be subject to penetration testing should take account of a wide range of factors including compliance requirements, system criticality and significant changes to critical business processes, as well as being built into relevant stages of systems under development.</v>
      </c>
      <c r="G19" s="177"/>
      <c r="H19" s="177"/>
      <c r="I19" s="120"/>
      <c r="J19" s="118"/>
      <c r="K19" s="118"/>
      <c r="L19" s="118"/>
      <c r="M19" s="118"/>
      <c r="N19" s="118"/>
      <c r="O19" s="118"/>
      <c r="P19" s="118"/>
      <c r="Q19" s="118"/>
      <c r="R19" s="118"/>
      <c r="S19" s="118"/>
      <c r="T19" s="123"/>
      <c r="U19" s="123"/>
      <c r="V19" s="123"/>
      <c r="W19" s="123"/>
      <c r="X19" s="123"/>
      <c r="Z19" s="74"/>
      <c r="AA19" s="74"/>
      <c r="AB19" s="74"/>
      <c r="AC19" s="74"/>
      <c r="AD19" s="81"/>
      <c r="AE19" s="81"/>
      <c r="AF19" s="81"/>
      <c r="AG19" s="77"/>
      <c r="AH19" s="81"/>
      <c r="AI19" s="77"/>
      <c r="AJ19" s="74"/>
      <c r="AK19" s="74"/>
      <c r="AL19" s="74"/>
      <c r="AM19" s="74"/>
      <c r="AN19" s="74"/>
      <c r="AO19" s="74"/>
      <c r="AP19" s="74"/>
      <c r="AQ19" s="74"/>
    </row>
    <row r="20" spans="1:43" s="125" customFormat="1" ht="30" customHeight="1" x14ac:dyDescent="0.25">
      <c r="A20" s="134">
        <v>14</v>
      </c>
      <c r="B20" s="117" t="str">
        <f t="shared" si="0"/>
        <v>A.5</v>
      </c>
      <c r="C20" s="118">
        <f t="shared" si="1"/>
        <v>2</v>
      </c>
      <c r="D20" s="87"/>
      <c r="E20" s="142" t="str">
        <f t="shared" si="2"/>
        <v>Step 5</v>
      </c>
      <c r="F20" s="224" t="str">
        <f t="shared" si="3"/>
        <v>Define the purpose of the penetration tests</v>
      </c>
      <c r="G20" s="175" t="str">
        <f ca="1">"Maturity level:  "&amp;O20</f>
        <v>Maturity level:  Level 1</v>
      </c>
      <c r="H20" s="176"/>
      <c r="I20" s="225"/>
      <c r="J20" s="226"/>
      <c r="K20" s="226"/>
      <c r="L20" s="226" t="str">
        <f>TEXT(B20,"0.0")</f>
        <v>A.5</v>
      </c>
      <c r="M20" s="213">
        <f ca="1">SUMIF(Y:Y,L20,G:G)/(SUMIF(Y:Y,L20,X:X))</f>
        <v>0</v>
      </c>
      <c r="N20" s="213" t="str">
        <f ca="1">HLOOKUP(M20*100,level_ref,2,TRUE)</f>
        <v>Level 1</v>
      </c>
      <c r="O20" s="213" t="str">
        <f ca="1">IF(ISERROR(N20),"",N20)</f>
        <v>Level 1</v>
      </c>
      <c r="P20" s="213">
        <f ca="1">HLOOKUP(M20*100,level_ref,3,TRUE)</f>
        <v>1</v>
      </c>
      <c r="Q20" s="213">
        <f ca="1">IF(ISERROR(P20),"",P20)</f>
        <v>1</v>
      </c>
      <c r="R20" s="213">
        <f ca="1">M20*5</f>
        <v>0</v>
      </c>
      <c r="S20" s="213"/>
      <c r="T20" s="213"/>
      <c r="U20" s="213" t="str">
        <f ca="1">IF(AND(C20&gt;4,VLOOKUP(A20,Assess_A_Reference,34,FALSE)&lt;&gt;8),LEFT(B20,3),"")</f>
        <v/>
      </c>
      <c r="V20" s="213">
        <f ca="1">VLOOKUP(A20,Weightings_Assessments,24,FALSE)</f>
        <v>0</v>
      </c>
      <c r="W20" s="213">
        <f ca="1">IF(VLOOKUP(A20,Assess_A_Reference,34,FALSE)=8,0,1)</f>
        <v>1</v>
      </c>
      <c r="X20" s="213">
        <f ca="1">W20*V20*4</f>
        <v>0</v>
      </c>
      <c r="Y20" s="125" t="str">
        <f ca="1">AG20&amp;U20</f>
        <v/>
      </c>
      <c r="Z20" s="74"/>
      <c r="AA20" s="74"/>
      <c r="AB20" s="74"/>
      <c r="AC20" s="74"/>
      <c r="AD20" s="81"/>
      <c r="AE20" s="81"/>
      <c r="AF20" s="81"/>
      <c r="AG20" s="77"/>
      <c r="AH20" s="81"/>
      <c r="AI20" s="77"/>
      <c r="AJ20" s="74"/>
      <c r="AK20" s="74"/>
      <c r="AL20" s="74"/>
      <c r="AM20" s="74"/>
      <c r="AN20" s="74"/>
      <c r="AO20" s="74"/>
      <c r="AP20" s="74"/>
      <c r="AQ20" s="74"/>
    </row>
    <row r="21" spans="1:43" s="125" customFormat="1" ht="30" x14ac:dyDescent="0.25">
      <c r="A21" s="134">
        <v>15</v>
      </c>
      <c r="B21" s="117" t="str">
        <f t="shared" si="0"/>
        <v>A.5.01</v>
      </c>
      <c r="C21" s="118">
        <f t="shared" si="1"/>
        <v>5</v>
      </c>
      <c r="D21" s="87"/>
      <c r="E21" s="119" t="str">
        <f t="shared" si="2"/>
        <v>A.5.01</v>
      </c>
      <c r="F21" s="120" t="str">
        <f t="shared" si="3"/>
        <v>Do you define the purpose of penetration tests, evaluating the potential benefits to your organisation?</v>
      </c>
      <c r="G21" s="177" t="str">
        <f ca="1">VLOOKUP($A21,Assess_A_Reference,15,FALSE)</f>
        <v/>
      </c>
      <c r="H21" s="177">
        <f ca="1">(VLOOKUP(LEFT($B21,3),targets_lookup,5,FALSE))*VLOOKUP($A21,Weightings_Assessments,23,FALSE)</f>
        <v>2</v>
      </c>
      <c r="I21" s="120" t="str">
        <f ca="1">IF(VLOOKUP(A21,Assess_A_Reference,16,FALSE)=0,"",VLOOKUP(A21,Assess_A_Reference,16,FALSE))</f>
        <v/>
      </c>
      <c r="J21" s="118"/>
      <c r="K21" s="118"/>
      <c r="L21" s="118"/>
      <c r="M21" s="118"/>
      <c r="N21" s="118"/>
      <c r="O21" s="118"/>
      <c r="P21" s="118"/>
      <c r="Q21" s="118"/>
      <c r="R21" s="118"/>
      <c r="S21" s="118"/>
      <c r="T21" s="123"/>
      <c r="U21" s="213" t="str">
        <f ca="1">IF(AND(C21&gt;4,VLOOKUP(A21,Assess_A_Reference,34,FALSE)&lt;&gt;8),LEFT(B21,3),"")</f>
        <v>A.5</v>
      </c>
      <c r="V21" s="213">
        <f ca="1">VLOOKUP(A21,Weightings_Assessments,24,FALSE)</f>
        <v>1</v>
      </c>
      <c r="W21" s="213">
        <f ca="1">IF(VLOOKUP(A21,Assess_A_Reference,34,FALSE)=8,0,1)</f>
        <v>1</v>
      </c>
      <c r="X21" s="213">
        <f ca="1">W21*V21*4</f>
        <v>4</v>
      </c>
      <c r="Y21" s="125" t="str">
        <f ca="1">AG21&amp;U21</f>
        <v>A.5</v>
      </c>
      <c r="Z21" s="74"/>
      <c r="AA21" s="74"/>
      <c r="AB21" s="74"/>
      <c r="AC21" s="74"/>
      <c r="AD21" s="81"/>
      <c r="AE21" s="81"/>
      <c r="AF21" s="81"/>
      <c r="AG21" s="77"/>
      <c r="AH21" s="81"/>
      <c r="AI21" s="77"/>
      <c r="AJ21" s="74"/>
      <c r="AK21" s="74"/>
      <c r="AL21" s="74"/>
      <c r="AM21" s="74"/>
      <c r="AN21" s="74"/>
      <c r="AO21" s="74"/>
      <c r="AP21" s="74"/>
      <c r="AQ21" s="74"/>
    </row>
    <row r="22" spans="1:43" s="125" customFormat="1" ht="120" x14ac:dyDescent="0.25">
      <c r="A22" s="134">
        <v>16</v>
      </c>
      <c r="B22" s="117" t="str">
        <f t="shared" si="0"/>
        <v/>
      </c>
      <c r="C22" s="118">
        <f t="shared" si="1"/>
        <v>3</v>
      </c>
      <c r="D22" s="87"/>
      <c r="E22" s="119" t="str">
        <f t="shared" si="2"/>
        <v/>
      </c>
      <c r="F22" s="138" t="str">
        <f t="shared" si="3"/>
        <v>Identifying the purpose of penetration tests should include assessing whether these tests can help your organisation to meet requirements (e.g. identify weaknesses in your security controls; reduce the frequency and impact of security incidents; comply with legal and regulatory requirements); and realise potential benefits (e.g. IT cost reductions; technical and business improvements; greater awareness of security risks and controls) – whilst taking account of any testing limitations or difficulties.</v>
      </c>
      <c r="G22" s="177"/>
      <c r="H22" s="177"/>
      <c r="I22" s="120"/>
      <c r="J22" s="118"/>
      <c r="K22" s="118"/>
      <c r="L22" s="118"/>
      <c r="M22" s="118"/>
      <c r="N22" s="118"/>
      <c r="O22" s="118"/>
      <c r="P22" s="118"/>
      <c r="Q22" s="118"/>
      <c r="R22" s="118"/>
      <c r="S22" s="118"/>
      <c r="T22" s="123"/>
      <c r="U22" s="123"/>
      <c r="V22" s="123"/>
      <c r="W22" s="123"/>
      <c r="X22" s="123"/>
      <c r="Z22" s="74"/>
      <c r="AA22" s="74"/>
      <c r="AB22" s="74"/>
      <c r="AC22" s="74"/>
      <c r="AD22" s="81"/>
      <c r="AE22" s="81"/>
      <c r="AF22" s="81"/>
      <c r="AG22" s="77"/>
      <c r="AH22" s="81"/>
      <c r="AI22" s="77"/>
      <c r="AJ22" s="74"/>
      <c r="AK22" s="74"/>
      <c r="AL22" s="74"/>
      <c r="AM22" s="74"/>
      <c r="AN22" s="74"/>
      <c r="AO22" s="74"/>
      <c r="AP22" s="74"/>
      <c r="AQ22" s="74"/>
    </row>
    <row r="23" spans="1:43" s="125" customFormat="1" ht="30" customHeight="1" x14ac:dyDescent="0.25">
      <c r="A23" s="134">
        <v>17</v>
      </c>
      <c r="B23" s="117" t="str">
        <f t="shared" si="0"/>
        <v>A.6</v>
      </c>
      <c r="C23" s="118">
        <f t="shared" si="1"/>
        <v>2</v>
      </c>
      <c r="D23" s="87"/>
      <c r="E23" s="142" t="str">
        <f t="shared" si="2"/>
        <v>Step 6</v>
      </c>
      <c r="F23" s="224" t="str">
        <f t="shared" si="3"/>
        <v>Produce requirements specifications</v>
      </c>
      <c r="G23" s="175" t="str">
        <f ca="1">"Maturity level:  "&amp;O23</f>
        <v>Maturity level:  Level 1</v>
      </c>
      <c r="H23" s="176"/>
      <c r="I23" s="225"/>
      <c r="J23" s="226"/>
      <c r="K23" s="226"/>
      <c r="L23" s="226" t="str">
        <f>TEXT(B23,"0.0")</f>
        <v>A.6</v>
      </c>
      <c r="M23" s="213">
        <f ca="1">SUMIF(Y:Y,L23,G:G)/(SUMIF(Y:Y,L23,X:X))</f>
        <v>0</v>
      </c>
      <c r="N23" s="213" t="str">
        <f ca="1">HLOOKUP(M23*100,level_ref,2,TRUE)</f>
        <v>Level 1</v>
      </c>
      <c r="O23" s="213" t="str">
        <f ca="1">IF(ISERROR(N23),"",N23)</f>
        <v>Level 1</v>
      </c>
      <c r="P23" s="213">
        <f ca="1">HLOOKUP(M23*100,level_ref,3,TRUE)</f>
        <v>1</v>
      </c>
      <c r="Q23" s="213">
        <f ca="1">IF(ISERROR(P23),"",P23)</f>
        <v>1</v>
      </c>
      <c r="R23" s="213">
        <f ca="1">M23*5</f>
        <v>0</v>
      </c>
      <c r="S23" s="213"/>
      <c r="T23" s="213"/>
      <c r="U23" s="213" t="str">
        <f ca="1">IF(AND(C23&gt;4,VLOOKUP(A23,Assess_A_Reference,34,FALSE)&lt;&gt;8),LEFT(B23,3),"")</f>
        <v/>
      </c>
      <c r="V23" s="213">
        <f ca="1">VLOOKUP(A23,Weightings_Assessments,24,FALSE)</f>
        <v>0</v>
      </c>
      <c r="W23" s="213">
        <f ca="1">IF(VLOOKUP(A23,Assess_A_Reference,34,FALSE)=8,0,1)</f>
        <v>1</v>
      </c>
      <c r="X23" s="213">
        <f ca="1">W23*V23*4</f>
        <v>0</v>
      </c>
      <c r="Y23" s="125" t="str">
        <f ca="1">AG23&amp;U23</f>
        <v/>
      </c>
      <c r="Z23" s="74"/>
      <c r="AA23" s="74"/>
      <c r="AB23" s="74"/>
      <c r="AC23" s="74"/>
      <c r="AD23" s="81"/>
      <c r="AE23" s="81"/>
      <c r="AF23" s="81"/>
      <c r="AG23" s="77"/>
      <c r="AH23" s="81"/>
      <c r="AI23" s="77"/>
      <c r="AJ23" s="74"/>
      <c r="AK23" s="74"/>
      <c r="AL23" s="74"/>
      <c r="AM23" s="74"/>
      <c r="AN23" s="74"/>
      <c r="AO23" s="74"/>
      <c r="AP23" s="74"/>
      <c r="AQ23" s="74"/>
    </row>
    <row r="24" spans="1:43" s="125" customFormat="1" ht="30" x14ac:dyDescent="0.25">
      <c r="A24" s="134">
        <v>18</v>
      </c>
      <c r="B24" s="117" t="str">
        <f t="shared" si="0"/>
        <v>A.6.01</v>
      </c>
      <c r="C24" s="118">
        <f t="shared" si="1"/>
        <v>5</v>
      </c>
      <c r="D24" s="87"/>
      <c r="E24" s="119" t="str">
        <f t="shared" si="2"/>
        <v>A.6.01</v>
      </c>
      <c r="F24" s="120" t="str">
        <f t="shared" si="3"/>
        <v>Do you define formal requirements for penetration testing carried out in your organisation?</v>
      </c>
      <c r="G24" s="177" t="str">
        <f ca="1">VLOOKUP($A24,Assess_A_Reference,15,FALSE)</f>
        <v/>
      </c>
      <c r="H24" s="177">
        <f ca="1">(VLOOKUP(LEFT($B24,3),targets_lookup,5,FALSE))*VLOOKUP($A24,Weightings_Assessments,23,FALSE)</f>
        <v>2</v>
      </c>
      <c r="I24" s="120" t="str">
        <f ca="1">IF(VLOOKUP(A24,Assess_A_Reference,16,FALSE)=0,"",VLOOKUP(A24,Assess_A_Reference,16,FALSE))</f>
        <v/>
      </c>
      <c r="J24" s="118"/>
      <c r="K24" s="118"/>
      <c r="L24" s="118"/>
      <c r="M24" s="118"/>
      <c r="N24" s="118"/>
      <c r="O24" s="118"/>
      <c r="P24" s="118"/>
      <c r="Q24" s="118"/>
      <c r="R24" s="118"/>
      <c r="S24" s="118"/>
      <c r="T24" s="123"/>
      <c r="U24" s="213" t="str">
        <f ca="1">IF(AND(C24&gt;4,VLOOKUP(A24,Assess_A_Reference,34,FALSE)&lt;&gt;8),LEFT(B24,3),"")</f>
        <v>A.6</v>
      </c>
      <c r="V24" s="213">
        <f ca="1">VLOOKUP(A24,Weightings_Assessments,24,FALSE)</f>
        <v>1</v>
      </c>
      <c r="W24" s="213">
        <f ca="1">IF(VLOOKUP(A24,Assess_A_Reference,34,FALSE)=8,0,1)</f>
        <v>1</v>
      </c>
      <c r="X24" s="213">
        <f ca="1">W24*V24*4</f>
        <v>4</v>
      </c>
      <c r="Y24" s="125" t="str">
        <f ca="1">AG24&amp;U24</f>
        <v>A.6</v>
      </c>
      <c r="Z24" s="74"/>
      <c r="AA24" s="74"/>
      <c r="AB24" s="74"/>
      <c r="AC24" s="74"/>
      <c r="AD24" s="81"/>
      <c r="AE24" s="81"/>
      <c r="AF24" s="81"/>
      <c r="AG24" s="77"/>
      <c r="AH24" s="81"/>
      <c r="AI24" s="77"/>
      <c r="AJ24" s="74"/>
      <c r="AK24" s="74"/>
      <c r="AL24" s="74"/>
      <c r="AM24" s="74"/>
      <c r="AN24" s="74"/>
      <c r="AO24" s="74"/>
      <c r="AP24" s="74"/>
      <c r="AQ24" s="74"/>
    </row>
    <row r="25" spans="1:43" s="125" customFormat="1" ht="75" x14ac:dyDescent="0.25">
      <c r="A25" s="134">
        <v>19</v>
      </c>
      <c r="B25" s="117" t="str">
        <f t="shared" si="0"/>
        <v/>
      </c>
      <c r="C25" s="118">
        <f t="shared" si="1"/>
        <v>3</v>
      </c>
      <c r="D25" s="87"/>
      <c r="E25" s="119" t="str">
        <f t="shared" si="2"/>
        <v/>
      </c>
      <c r="F25" s="138" t="str">
        <f t="shared" si="3"/>
        <v>Requirements for penetration testing should include consideration of important business applications, key IT infrastructure and confidential data; validation that tests are legal and will not compromise confidential data; and the need for tests to be recorded, reviewed and signed-off.</v>
      </c>
      <c r="G25" s="177"/>
      <c r="H25" s="177"/>
      <c r="I25" s="120"/>
      <c r="J25" s="118"/>
      <c r="K25" s="118"/>
      <c r="L25" s="118"/>
      <c r="M25" s="118"/>
      <c r="N25" s="118"/>
      <c r="O25" s="118"/>
      <c r="P25" s="118"/>
      <c r="Q25" s="118"/>
      <c r="R25" s="118"/>
      <c r="S25" s="118"/>
      <c r="T25" s="123"/>
      <c r="U25" s="123"/>
      <c r="V25" s="123"/>
      <c r="W25" s="123"/>
      <c r="X25" s="123"/>
      <c r="Z25" s="74"/>
      <c r="AA25" s="74"/>
      <c r="AB25" s="74"/>
      <c r="AC25" s="74"/>
      <c r="AD25" s="81"/>
      <c r="AE25" s="81"/>
      <c r="AF25" s="81"/>
      <c r="AG25" s="77"/>
      <c r="AH25" s="81"/>
      <c r="AI25" s="77"/>
      <c r="AJ25" s="74"/>
      <c r="AK25" s="74"/>
      <c r="AL25" s="74"/>
      <c r="AM25" s="74"/>
      <c r="AN25" s="74"/>
      <c r="AO25" s="74"/>
      <c r="AP25" s="74"/>
      <c r="AQ25" s="74"/>
    </row>
    <row r="26" spans="1:43" s="125" customFormat="1" ht="30" customHeight="1" x14ac:dyDescent="0.25">
      <c r="A26" s="134">
        <v>20</v>
      </c>
      <c r="B26" s="117" t="str">
        <f t="shared" si="0"/>
        <v>A.7</v>
      </c>
      <c r="C26" s="118">
        <f t="shared" si="1"/>
        <v>2</v>
      </c>
      <c r="D26" s="87"/>
      <c r="E26" s="142" t="str">
        <f t="shared" si="2"/>
        <v>Step 7</v>
      </c>
      <c r="F26" s="224" t="str">
        <f t="shared" si="3"/>
        <v>Select suitable suppliers</v>
      </c>
      <c r="G26" s="175" t="str">
        <f ca="1">"Maturity level:  "&amp;O26</f>
        <v>Maturity level:  Level 1</v>
      </c>
      <c r="H26" s="176"/>
      <c r="I26" s="225"/>
      <c r="J26" s="226"/>
      <c r="K26" s="226"/>
      <c r="L26" s="226" t="str">
        <f>TEXT(B26,"0.0")</f>
        <v>A.7</v>
      </c>
      <c r="M26" s="213">
        <f ca="1">SUMIF(Y:Y,L26,G:G)/(SUMIF(Y:Y,L26,X:X))</f>
        <v>0</v>
      </c>
      <c r="N26" s="213" t="str">
        <f ca="1">HLOOKUP(M26*100,level_ref,2,TRUE)</f>
        <v>Level 1</v>
      </c>
      <c r="O26" s="213" t="str">
        <f ca="1">IF(ISERROR(N26),"",N26)</f>
        <v>Level 1</v>
      </c>
      <c r="P26" s="213">
        <f ca="1">HLOOKUP(M26*100,level_ref,3,TRUE)</f>
        <v>1</v>
      </c>
      <c r="Q26" s="213">
        <f ca="1">IF(ISERROR(P26),"",P26)</f>
        <v>1</v>
      </c>
      <c r="R26" s="213">
        <f ca="1">M26*5</f>
        <v>0</v>
      </c>
      <c r="S26" s="213"/>
      <c r="T26" s="213"/>
      <c r="U26" s="213" t="str">
        <f ca="1">IF(AND(C26&gt;4,VLOOKUP(A26,Assess_A_Reference,34,FALSE)&lt;&gt;8),LEFT(B26,3),"")</f>
        <v/>
      </c>
      <c r="V26" s="213">
        <f ca="1">VLOOKUP(A26,Weightings_Assessments,24,FALSE)</f>
        <v>0</v>
      </c>
      <c r="W26" s="213">
        <f ca="1">IF(VLOOKUP(A26,Assess_A_Reference,34,FALSE)=8,0,1)</f>
        <v>1</v>
      </c>
      <c r="X26" s="213">
        <f ca="1">W26*V26*4</f>
        <v>0</v>
      </c>
      <c r="Y26" s="125" t="str">
        <f ca="1">AG26&amp;U26</f>
        <v/>
      </c>
      <c r="Z26" s="74"/>
      <c r="AA26" s="74"/>
      <c r="AB26" s="74"/>
      <c r="AC26" s="74"/>
      <c r="AD26" s="81"/>
      <c r="AE26" s="81"/>
      <c r="AF26" s="81"/>
      <c r="AG26" s="77"/>
      <c r="AH26" s="81"/>
      <c r="AI26" s="77"/>
      <c r="AJ26" s="74"/>
      <c r="AK26" s="74"/>
      <c r="AL26" s="74"/>
      <c r="AM26" s="74"/>
      <c r="AN26" s="74"/>
      <c r="AO26" s="74"/>
      <c r="AP26" s="74"/>
      <c r="AQ26" s="74"/>
    </row>
    <row r="27" spans="1:43" s="125" customFormat="1" ht="60" x14ac:dyDescent="0.25">
      <c r="A27" s="134">
        <v>21</v>
      </c>
      <c r="B27" s="117" t="str">
        <f t="shared" si="0"/>
        <v>A.7.01</v>
      </c>
      <c r="C27" s="118">
        <f t="shared" si="1"/>
        <v>5</v>
      </c>
      <c r="D27" s="87"/>
      <c r="E27" s="119" t="str">
        <f t="shared" si="2"/>
        <v>A.7.01</v>
      </c>
      <c r="F27" s="120" t="str">
        <f t="shared" si="3"/>
        <v>Do you appoint suitable third party suppliers to undertake independent penetration testing (based on defined requirements, benefit evaluation, specified supplier selection criteria and validation of the supplier’s ability to meet your specific requirements)?</v>
      </c>
      <c r="G27" s="177" t="str">
        <f ca="1">VLOOKUP($A27,Assess_A_Reference,15,FALSE)</f>
        <v/>
      </c>
      <c r="H27" s="177">
        <f ca="1">(VLOOKUP(LEFT($B27,3),targets_lookup,5,FALSE))*VLOOKUP($A27,Weightings_Assessments,23,FALSE)</f>
        <v>2</v>
      </c>
      <c r="I27" s="120" t="str">
        <f ca="1">IF(VLOOKUP(A27,Assess_A_Reference,16,FALSE)=0,"",VLOOKUP(A27,Assess_A_Reference,16,FALSE))</f>
        <v/>
      </c>
      <c r="J27" s="118"/>
      <c r="K27" s="118"/>
      <c r="L27" s="118"/>
      <c r="M27" s="118"/>
      <c r="N27" s="118"/>
      <c r="O27" s="118"/>
      <c r="P27" s="118"/>
      <c r="Q27" s="118"/>
      <c r="R27" s="118"/>
      <c r="S27" s="118"/>
      <c r="T27" s="123"/>
      <c r="U27" s="213" t="str">
        <f ca="1">IF(AND(C27&gt;4,VLOOKUP(A27,Assess_A_Reference,34,FALSE)&lt;&gt;8),LEFT(B27,3),"")</f>
        <v>A.7</v>
      </c>
      <c r="V27" s="213">
        <f ca="1">VLOOKUP(A27,Weightings_Assessments,24,FALSE)</f>
        <v>1</v>
      </c>
      <c r="W27" s="213">
        <f ca="1">IF(VLOOKUP(A27,Assess_A_Reference,34,FALSE)=8,0,1)</f>
        <v>1</v>
      </c>
      <c r="X27" s="213">
        <f ca="1">W27*V27*4</f>
        <v>4</v>
      </c>
      <c r="Y27" s="125" t="str">
        <f ca="1">AG27&amp;U27</f>
        <v>A.7</v>
      </c>
      <c r="Z27" s="74"/>
      <c r="AA27" s="74"/>
      <c r="AB27" s="74"/>
      <c r="AC27" s="74"/>
      <c r="AD27" s="81"/>
      <c r="AE27" s="81"/>
      <c r="AF27" s="81"/>
      <c r="AG27" s="77"/>
      <c r="AH27" s="81"/>
      <c r="AI27" s="77"/>
      <c r="AJ27" s="74"/>
      <c r="AK27" s="74"/>
      <c r="AL27" s="74"/>
      <c r="AM27" s="74"/>
      <c r="AN27" s="74"/>
      <c r="AO27" s="74"/>
      <c r="AP27" s="74"/>
      <c r="AQ27" s="74"/>
    </row>
    <row r="28" spans="1:43" s="125" customFormat="1" ht="105" x14ac:dyDescent="0.25">
      <c r="A28" s="134">
        <v>22</v>
      </c>
      <c r="B28" s="117" t="str">
        <f t="shared" si="0"/>
        <v/>
      </c>
      <c r="C28" s="118">
        <f t="shared" si="1"/>
        <v>3</v>
      </c>
      <c r="D28" s="87"/>
      <c r="E28" s="119" t="str">
        <f t="shared" si="2"/>
        <v/>
      </c>
      <c r="F28" s="138" t="str">
        <f t="shared" si="3"/>
        <v>Effective supplier selection criteria should be used to determine if potential suppliers can satisfactorily meet your specific testing requirements, based on their ability to provide: solid reputation, history and ethics; high quality, value-for-money services; research and development capability; highly competent, technical testers; and security and risk management, supported by a strong professional accreditation and complaint process.</v>
      </c>
      <c r="G28" s="177"/>
      <c r="H28" s="177"/>
      <c r="I28" s="120"/>
      <c r="J28" s="118"/>
      <c r="K28" s="118"/>
      <c r="L28" s="118"/>
      <c r="M28" s="118"/>
      <c r="N28" s="118"/>
      <c r="O28" s="118"/>
      <c r="P28" s="118"/>
      <c r="Q28" s="118"/>
      <c r="R28" s="118"/>
      <c r="S28" s="118"/>
      <c r="T28" s="123"/>
      <c r="U28" s="123"/>
      <c r="V28" s="123"/>
      <c r="W28" s="123"/>
      <c r="X28" s="123"/>
      <c r="Z28" s="74"/>
      <c r="AA28" s="74"/>
      <c r="AB28" s="74"/>
      <c r="AC28" s="74"/>
      <c r="AD28" s="81"/>
      <c r="AE28" s="81"/>
      <c r="AF28" s="81"/>
      <c r="AG28" s="77"/>
      <c r="AH28" s="81"/>
      <c r="AI28" s="77"/>
      <c r="AJ28" s="74"/>
      <c r="AK28" s="74"/>
      <c r="AL28" s="74"/>
      <c r="AM28" s="74"/>
      <c r="AN28" s="74"/>
      <c r="AO28" s="74"/>
      <c r="AP28" s="74"/>
      <c r="AQ28" s="74"/>
    </row>
    <row r="29" spans="1:43" x14ac:dyDescent="0.25">
      <c r="D29" s="135"/>
      <c r="Z29" s="135"/>
      <c r="AA29" s="135"/>
      <c r="AB29" s="135"/>
      <c r="AC29" s="135"/>
      <c r="AD29" s="135"/>
      <c r="AE29" s="135"/>
      <c r="AF29" s="135"/>
      <c r="AG29" s="135"/>
      <c r="AH29" s="135"/>
      <c r="AI29" s="135"/>
      <c r="AJ29" s="135"/>
      <c r="AK29" s="135"/>
      <c r="AL29" s="135"/>
      <c r="AM29" s="135"/>
      <c r="AN29" s="135"/>
      <c r="AO29" s="135"/>
      <c r="AP29" s="135"/>
      <c r="AQ29" s="135"/>
    </row>
    <row r="30" spans="1:43" x14ac:dyDescent="0.25">
      <c r="D30" s="135"/>
      <c r="Z30" s="135"/>
      <c r="AA30" s="135"/>
      <c r="AB30" s="135"/>
      <c r="AC30" s="135"/>
      <c r="AD30" s="135"/>
      <c r="AE30" s="135"/>
      <c r="AF30" s="135"/>
      <c r="AG30" s="135"/>
      <c r="AH30" s="135"/>
      <c r="AI30" s="135"/>
      <c r="AJ30" s="135"/>
      <c r="AK30" s="135"/>
      <c r="AL30" s="135"/>
      <c r="AM30" s="135"/>
      <c r="AN30" s="135"/>
      <c r="AO30" s="135"/>
      <c r="AP30" s="135"/>
      <c r="AQ30" s="135"/>
    </row>
    <row r="31" spans="1:43" x14ac:dyDescent="0.25">
      <c r="D31" s="135"/>
      <c r="Z31" s="135"/>
      <c r="AA31" s="135"/>
      <c r="AB31" s="135"/>
      <c r="AC31" s="135"/>
      <c r="AD31" s="135"/>
      <c r="AE31" s="135"/>
      <c r="AF31" s="135"/>
      <c r="AG31" s="135"/>
      <c r="AH31" s="135"/>
      <c r="AI31" s="135"/>
      <c r="AJ31" s="135"/>
      <c r="AK31" s="135"/>
      <c r="AL31" s="135"/>
      <c r="AM31" s="135"/>
      <c r="AN31" s="135"/>
      <c r="AO31" s="135"/>
      <c r="AP31" s="135"/>
      <c r="AQ31" s="135"/>
    </row>
    <row r="32" spans="1:43" x14ac:dyDescent="0.25">
      <c r="Z32" s="135"/>
      <c r="AA32" s="135"/>
      <c r="AB32" s="135"/>
      <c r="AC32" s="135"/>
      <c r="AD32" s="135"/>
      <c r="AE32" s="135"/>
      <c r="AF32" s="135"/>
      <c r="AG32" s="135"/>
      <c r="AH32" s="135"/>
      <c r="AI32" s="135"/>
      <c r="AJ32" s="135"/>
      <c r="AK32" s="135"/>
      <c r="AL32" s="135"/>
      <c r="AM32" s="135"/>
      <c r="AN32" s="135"/>
      <c r="AO32" s="135"/>
      <c r="AP32" s="135"/>
      <c r="AQ32" s="135"/>
    </row>
    <row r="33" spans="26:43" x14ac:dyDescent="0.25">
      <c r="Z33" s="135"/>
      <c r="AA33" s="135"/>
      <c r="AB33" s="135"/>
      <c r="AC33" s="135"/>
      <c r="AD33" s="135"/>
      <c r="AE33" s="135"/>
      <c r="AF33" s="135"/>
      <c r="AG33" s="135"/>
      <c r="AH33" s="135"/>
      <c r="AI33" s="135"/>
      <c r="AJ33" s="135"/>
      <c r="AK33" s="135"/>
      <c r="AL33" s="135"/>
      <c r="AM33" s="135"/>
      <c r="AN33" s="135"/>
      <c r="AO33" s="135"/>
      <c r="AP33" s="135"/>
      <c r="AQ33" s="135"/>
    </row>
    <row r="34" spans="26:43" x14ac:dyDescent="0.25">
      <c r="Z34" s="135"/>
      <c r="AA34" s="135"/>
      <c r="AB34" s="135"/>
      <c r="AC34" s="135"/>
      <c r="AD34" s="135"/>
      <c r="AE34" s="135"/>
      <c r="AF34" s="135"/>
      <c r="AG34" s="135"/>
      <c r="AH34" s="135"/>
      <c r="AI34" s="135"/>
      <c r="AJ34" s="135"/>
      <c r="AK34" s="135"/>
      <c r="AL34" s="135"/>
      <c r="AM34" s="135"/>
      <c r="AN34" s="135"/>
      <c r="AO34" s="135"/>
      <c r="AP34" s="135"/>
      <c r="AQ34" s="135"/>
    </row>
    <row r="35" spans="26:43" x14ac:dyDescent="0.25">
      <c r="Z35" s="135"/>
      <c r="AA35" s="135"/>
      <c r="AB35" s="135"/>
      <c r="AC35" s="135"/>
      <c r="AD35" s="135"/>
      <c r="AE35" s="135"/>
      <c r="AF35" s="135"/>
      <c r="AG35" s="135"/>
      <c r="AH35" s="135"/>
      <c r="AI35" s="135"/>
      <c r="AJ35" s="135"/>
      <c r="AK35" s="135"/>
      <c r="AL35" s="135"/>
      <c r="AM35" s="135"/>
      <c r="AN35" s="135"/>
      <c r="AO35" s="135"/>
      <c r="AP35" s="135"/>
      <c r="AQ35" s="135"/>
    </row>
    <row r="36" spans="26:43" x14ac:dyDescent="0.25">
      <c r="Z36" s="135"/>
      <c r="AA36" s="135"/>
      <c r="AB36" s="135"/>
      <c r="AC36" s="135"/>
      <c r="AD36" s="135"/>
      <c r="AE36" s="135"/>
      <c r="AF36" s="135"/>
      <c r="AG36" s="135"/>
      <c r="AH36" s="135"/>
      <c r="AI36" s="135"/>
      <c r="AJ36" s="135"/>
      <c r="AK36" s="135"/>
      <c r="AL36" s="135"/>
      <c r="AM36" s="135"/>
      <c r="AN36" s="135"/>
      <c r="AO36" s="135"/>
      <c r="AP36" s="135"/>
      <c r="AQ36" s="135"/>
    </row>
  </sheetData>
  <sheetProtection algorithmName="SHA-512" hashValue="loM8xr6h3A4vsX1/M6OhlZ6Dw0GVshnSooyU2Cz1TzJaz+wDy1MunjlfwIHmCYh5NRMxYukEtXf5P4ACjqvVNQ==" saltValue="na2/CEALNPp6zqWPrSL69A==" spinCount="100000" sheet="1" objects="1" scenarios="1"/>
  <sortState xmlns:xlrd2="http://schemas.microsoft.com/office/spreadsheetml/2017/richdata2" ref="A8:AI74">
    <sortCondition ref="A8:A74"/>
  </sortState>
  <mergeCells count="2">
    <mergeCell ref="F2:I3"/>
    <mergeCell ref="F4:I5"/>
  </mergeCells>
  <conditionalFormatting sqref="G8:G28">
    <cfRule type="dataBar" priority="22">
      <dataBar>
        <cfvo type="num" val="0"/>
        <cfvo type="num" val="4"/>
        <color rgb="FF638EC6"/>
      </dataBar>
      <extLst>
        <ext xmlns:x14="http://schemas.microsoft.com/office/spreadsheetml/2009/9/main" uri="{B025F937-C7B1-47D3-B67F-A62EFF666E3E}">
          <x14:id>{018D2FA3-DA45-45D1-99D6-F32F5C9CE8AA}</x14:id>
        </ext>
      </extLst>
    </cfRule>
  </conditionalFormatting>
  <conditionalFormatting sqref="H8:H28">
    <cfRule type="dataBar" priority="21">
      <dataBar>
        <cfvo type="num" val="0"/>
        <cfvo type="num" val="4"/>
        <color rgb="FF00B050"/>
      </dataBar>
      <extLst>
        <ext xmlns:x14="http://schemas.microsoft.com/office/spreadsheetml/2009/9/main" uri="{B025F937-C7B1-47D3-B67F-A62EFF666E3E}">
          <x14:id>{4BB5F45C-8F86-417D-8A10-26420E98D74D}</x14:id>
        </ext>
      </extLst>
    </cfRule>
  </conditionalFormatting>
  <pageMargins left="0.7" right="0.7" top="0.75" bottom="0.75" header="0.3" footer="0.3"/>
  <pageSetup paperSize="9" scale="73" fitToHeight="0" orientation="landscape" horizontalDpi="4294967293" r:id="rId1"/>
  <drawing r:id="rId2"/>
  <extLst>
    <ext xmlns:x14="http://schemas.microsoft.com/office/spreadsheetml/2009/9/main" uri="{78C0D931-6437-407d-A8EE-F0AAD7539E65}">
      <x14:conditionalFormattings>
        <x14:conditionalFormatting xmlns:xm="http://schemas.microsoft.com/office/excel/2006/main">
          <x14:cfRule type="dataBar" id="{018D2FA3-DA45-45D1-99D6-F32F5C9CE8AA}">
            <x14:dataBar minLength="0" maxLength="100" gradient="0">
              <x14:cfvo type="num">
                <xm:f>0</xm:f>
              </x14:cfvo>
              <x14:cfvo type="num">
                <xm:f>4</xm:f>
              </x14:cfvo>
              <x14:negativeFillColor rgb="FFFF0000"/>
              <x14:axisColor rgb="FF000000"/>
            </x14:dataBar>
          </x14:cfRule>
          <xm:sqref>G8:G28</xm:sqref>
        </x14:conditionalFormatting>
        <x14:conditionalFormatting xmlns:xm="http://schemas.microsoft.com/office/excel/2006/main">
          <x14:cfRule type="dataBar" id="{4BB5F45C-8F86-417D-8A10-26420E98D74D}">
            <x14:dataBar minLength="0" maxLength="100" gradient="0">
              <x14:cfvo type="num">
                <xm:f>0</xm:f>
              </x14:cfvo>
              <x14:cfvo type="num">
                <xm:f>4</xm:f>
              </x14:cfvo>
              <x14:negativeFillColor rgb="FFFF0000"/>
              <x14:axisColor rgb="FF000000"/>
            </x14:dataBar>
          </x14:cfRule>
          <xm:sqref>H8:H28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00B050"/>
    <pageSetUpPr autoPageBreaks="0" fitToPage="1"/>
  </sheetPr>
  <dimension ref="A2:AV39"/>
  <sheetViews>
    <sheetView showGridLines="0" showRowColHeaders="0" zoomScaleNormal="100" workbookViewId="0">
      <pane ySplit="7" topLeftCell="A8" activePane="bottomLeft" state="frozen"/>
      <selection activeCell="D1" sqref="D1"/>
      <selection pane="bottomLeft" sqref="A1:D5041"/>
    </sheetView>
  </sheetViews>
  <sheetFormatPr defaultColWidth="9.140625" defaultRowHeight="15" x14ac:dyDescent="0.25"/>
  <cols>
    <col min="1" max="1" width="9.28515625" style="152" hidden="1" customWidth="1"/>
    <col min="2" max="3" width="8.85546875" style="21" hidden="1" customWidth="1"/>
    <col min="4" max="4" width="6.28515625" style="21" customWidth="1"/>
    <col min="5" max="5" width="15.5703125" style="21" customWidth="1"/>
    <col min="6" max="6" width="67.42578125" style="21" customWidth="1"/>
    <col min="7" max="8" width="27" style="21" customWidth="1"/>
    <col min="9" max="9" width="41.7109375" style="83" customWidth="1"/>
    <col min="10" max="11" width="9.140625" style="21" customWidth="1"/>
    <col min="12" max="18" width="9.140625" style="21" hidden="1" customWidth="1"/>
    <col min="19" max="20" width="9.140625" style="21" customWidth="1"/>
    <col min="21" max="25" width="9.140625" style="21" hidden="1" customWidth="1"/>
    <col min="26" max="35" width="9.140625" style="21" customWidth="1"/>
    <col min="36" max="16384" width="9.140625" style="21"/>
  </cols>
  <sheetData>
    <row r="2" spans="1:48" s="53" customFormat="1" ht="15" customHeight="1" x14ac:dyDescent="0.25">
      <c r="A2" s="152"/>
      <c r="B2" s="21"/>
      <c r="C2" s="21"/>
      <c r="D2" s="21"/>
      <c r="E2" s="21"/>
      <c r="F2" s="314" t="str">
        <f>"Results"&amp;IF(LEN(profile_name_of_organisation)=0,""," for "&amp;profile_name_of_organisation)</f>
        <v>Results</v>
      </c>
      <c r="G2" s="314"/>
      <c r="H2" s="314"/>
      <c r="I2" s="314"/>
      <c r="J2" s="106"/>
      <c r="K2" s="106"/>
      <c r="L2" s="106"/>
      <c r="M2" s="106"/>
      <c r="N2" s="106"/>
      <c r="O2" s="106"/>
      <c r="P2" s="106"/>
      <c r="Q2" s="106"/>
      <c r="R2" s="106"/>
      <c r="S2" s="106"/>
      <c r="T2" s="106"/>
      <c r="U2" s="106"/>
      <c r="V2" s="106"/>
      <c r="W2" s="106"/>
      <c r="X2" s="106"/>
    </row>
    <row r="3" spans="1:48" s="53" customFormat="1" ht="15" customHeight="1" x14ac:dyDescent="0.25">
      <c r="A3" s="152"/>
      <c r="B3" s="21"/>
      <c r="C3" s="21"/>
      <c r="D3" s="21"/>
      <c r="E3" s="21"/>
      <c r="F3" s="314"/>
      <c r="G3" s="314"/>
      <c r="H3" s="314"/>
      <c r="I3" s="314"/>
      <c r="J3" s="106"/>
      <c r="K3" s="106"/>
      <c r="L3" s="106"/>
      <c r="M3" s="106"/>
      <c r="N3" s="106"/>
      <c r="O3" s="106"/>
      <c r="P3" s="106"/>
      <c r="Q3" s="106"/>
      <c r="R3" s="106"/>
      <c r="S3" s="106"/>
      <c r="T3" s="106"/>
      <c r="U3" s="106"/>
      <c r="V3" s="106"/>
      <c r="W3" s="106"/>
      <c r="X3" s="106"/>
    </row>
    <row r="4" spans="1:48" s="53" customFormat="1" ht="15" customHeight="1" x14ac:dyDescent="0.25">
      <c r="A4" s="152"/>
      <c r="B4" s="21"/>
      <c r="C4" s="21"/>
      <c r="D4" s="21"/>
      <c r="E4" s="21"/>
      <c r="F4" s="315" t="str">
        <f ca="1">'Assess A'!F2</f>
        <v>Maturity model for Stage A - Preparation</v>
      </c>
      <c r="G4" s="315"/>
      <c r="H4" s="315"/>
      <c r="I4" s="315"/>
      <c r="J4" s="106"/>
      <c r="K4" s="106"/>
      <c r="L4" s="106"/>
      <c r="M4" s="106"/>
      <c r="N4" s="106"/>
      <c r="O4" s="106"/>
      <c r="P4" s="106"/>
      <c r="Q4" s="106"/>
      <c r="R4" s="106"/>
      <c r="S4" s="106"/>
      <c r="T4" s="106"/>
      <c r="U4" s="106"/>
      <c r="V4" s="106"/>
      <c r="W4" s="106"/>
      <c r="X4" s="106"/>
    </row>
    <row r="5" spans="1:48" s="53" customFormat="1" ht="15" customHeight="1" x14ac:dyDescent="0.25">
      <c r="A5" s="152"/>
      <c r="B5" s="21"/>
      <c r="C5" s="21"/>
      <c r="D5" s="21"/>
      <c r="E5" s="21"/>
      <c r="F5" s="315"/>
      <c r="G5" s="315"/>
      <c r="H5" s="315"/>
      <c r="I5" s="315"/>
      <c r="J5" s="106"/>
      <c r="K5" s="106"/>
      <c r="L5" s="106"/>
      <c r="M5" s="106"/>
      <c r="N5" s="106"/>
      <c r="O5" s="106"/>
      <c r="P5" s="106"/>
      <c r="Q5" s="106"/>
      <c r="R5" s="106"/>
      <c r="S5" s="106"/>
      <c r="T5" s="106"/>
      <c r="U5" s="106"/>
      <c r="V5" s="106"/>
      <c r="W5" s="106"/>
      <c r="X5" s="106"/>
    </row>
    <row r="7" spans="1:48" ht="19.5" x14ac:dyDescent="0.3">
      <c r="A7" s="9" t="s">
        <v>67</v>
      </c>
      <c r="B7" s="65" t="s">
        <v>72</v>
      </c>
      <c r="C7" s="13" t="s">
        <v>71</v>
      </c>
      <c r="F7" s="54"/>
      <c r="G7" s="59" t="s">
        <v>140</v>
      </c>
      <c r="H7" s="60" t="s">
        <v>133</v>
      </c>
      <c r="I7" s="84" t="s">
        <v>48</v>
      </c>
      <c r="AD7" s="230"/>
      <c r="AE7" s="230"/>
      <c r="AF7" s="230"/>
      <c r="AG7" s="231"/>
      <c r="AH7" s="230"/>
      <c r="AI7" s="231"/>
    </row>
    <row r="8" spans="1:48" s="125" customFormat="1" ht="30" customHeight="1" x14ac:dyDescent="0.25">
      <c r="A8" s="134">
        <v>24</v>
      </c>
      <c r="B8" s="117" t="str">
        <f t="shared" ref="B8:B35" si="0">VLOOKUP(A8,contentrefmockup,2,FALSE)</f>
        <v>B.1</v>
      </c>
      <c r="C8" s="118">
        <f t="shared" ref="C8:C35" si="1">VLOOKUP(A8,contentrefmockup,15,FALSE)</f>
        <v>2</v>
      </c>
      <c r="D8" s="214"/>
      <c r="E8" s="142" t="str">
        <f t="shared" ref="E8:E35" si="2">IF(C8=1,"Phase "&amp;B8,IF(C8=2,"Step "&amp;VLOOKUP(A8,contentrefmockup,4,FALSE),B8))</f>
        <v>Step 1</v>
      </c>
      <c r="F8" s="224" t="str">
        <f t="shared" ref="F8:F35" si="3">VLOOKUP(A8,contentrefmockup,7,FALSE)</f>
        <v>Agree testing style and type</v>
      </c>
      <c r="G8" s="175" t="str">
        <f ca="1">"Maturity level:  "&amp;O8</f>
        <v>Maturity level:  Level 1</v>
      </c>
      <c r="H8" s="176"/>
      <c r="I8" s="225"/>
      <c r="J8" s="226"/>
      <c r="K8" s="226"/>
      <c r="L8" s="226" t="str">
        <f>TEXT(B8,"0.0")</f>
        <v>B.1</v>
      </c>
      <c r="M8" s="213">
        <f ca="1">SUMIF(Y:Y,L8,G:G)/(SUMIF(Y:Y,L8,X:X))</f>
        <v>0</v>
      </c>
      <c r="N8" s="213" t="str">
        <f ca="1">HLOOKUP(M8*100,level_ref,2,TRUE)</f>
        <v>Level 1</v>
      </c>
      <c r="O8" s="213" t="str">
        <f ca="1">IF(ISERROR(N8),"",N8)</f>
        <v>Level 1</v>
      </c>
      <c r="P8" s="213">
        <f ca="1">HLOOKUP(M8*100,level_ref,3,TRUE)</f>
        <v>1</v>
      </c>
      <c r="Q8" s="213">
        <f ca="1">IF(ISERROR(P8),"",P8)</f>
        <v>1</v>
      </c>
      <c r="R8" s="213">
        <f ca="1">M8*5</f>
        <v>0</v>
      </c>
      <c r="S8" s="213"/>
      <c r="T8" s="213"/>
      <c r="U8" s="213" t="str">
        <f ca="1">IF(AND(C8&gt;4,VLOOKUP(A8,Assess_B_Reference,34,FALSE)&lt;&gt;8),LEFT(B8,3),"")</f>
        <v/>
      </c>
      <c r="V8" s="213">
        <f ca="1">VLOOKUP(A8,Weightings_Assessments,24,FALSE)</f>
        <v>0</v>
      </c>
      <c r="W8" s="213">
        <f ca="1">IF(VLOOKUP(A8,Assess_B_Reference,34,FALSE)=8,0,1)</f>
        <v>1</v>
      </c>
      <c r="X8" s="213">
        <f ca="1">W8*V8*4</f>
        <v>0</v>
      </c>
      <c r="Y8" s="125" t="str">
        <f ca="1">AG8&amp;U8</f>
        <v/>
      </c>
      <c r="Z8" s="215"/>
      <c r="AA8" s="215"/>
      <c r="AB8" s="215"/>
      <c r="AC8" s="215"/>
      <c r="AD8" s="81"/>
      <c r="AE8" s="81"/>
      <c r="AF8" s="81"/>
      <c r="AG8" s="77"/>
      <c r="AH8" s="81"/>
      <c r="AI8" s="77"/>
      <c r="AJ8" s="215"/>
      <c r="AK8" s="215"/>
      <c r="AL8" s="215"/>
      <c r="AM8" s="215"/>
      <c r="AN8" s="215"/>
      <c r="AO8" s="215"/>
      <c r="AP8" s="215"/>
      <c r="AQ8" s="215"/>
      <c r="AR8" s="215"/>
      <c r="AS8" s="215"/>
      <c r="AT8" s="215"/>
      <c r="AU8" s="215"/>
      <c r="AV8" s="215"/>
    </row>
    <row r="9" spans="1:48" s="75" customFormat="1" ht="45" x14ac:dyDescent="0.25">
      <c r="A9" s="67">
        <v>25</v>
      </c>
      <c r="B9" s="68" t="str">
        <f t="shared" si="0"/>
        <v>B.1.01</v>
      </c>
      <c r="C9" s="69">
        <f t="shared" si="1"/>
        <v>5</v>
      </c>
      <c r="D9" s="20"/>
      <c r="E9" s="86" t="str">
        <f t="shared" si="2"/>
        <v>B.1.01</v>
      </c>
      <c r="F9" s="71" t="str">
        <f t="shared" si="3"/>
        <v>Do you determine what style of penetration testing is required (e.g. black, grey or white box testing; internal or external testing) and what type of testing is to be performed?</v>
      </c>
      <c r="G9" s="177" t="str">
        <f ca="1">VLOOKUP($A9,Assess_B_Reference,15,FALSE)</f>
        <v/>
      </c>
      <c r="H9" s="177">
        <f ca="1">(VLOOKUP(LEFT($B9,3),targets_lookup,5,FALSE))*VLOOKUP($A9,Weightings_Assessments,23,FALSE)</f>
        <v>2</v>
      </c>
      <c r="I9" s="71" t="str">
        <f ca="1">IF(VLOOKUP(A9,Assess_B_Reference,16,FALSE)=0,"",VLOOKUP(A9,Assess_B_Reference,16,FALSE))</f>
        <v/>
      </c>
      <c r="J9" s="69"/>
      <c r="K9" s="69"/>
      <c r="L9" s="69"/>
      <c r="M9" s="69"/>
      <c r="N9" s="69"/>
      <c r="O9" s="69"/>
      <c r="P9" s="69"/>
      <c r="Q9" s="69"/>
      <c r="R9" s="69"/>
      <c r="S9" s="69"/>
      <c r="T9" s="76"/>
      <c r="U9" s="100" t="str">
        <f ca="1">IF(AND(C9&gt;4,VLOOKUP(A9,Assess_B_Reference,34,FALSE)&lt;&gt;8),LEFT(B9,3),"")</f>
        <v>B.1</v>
      </c>
      <c r="V9" s="100">
        <f ca="1">VLOOKUP(A9,Weightings_Assessments,24,FALSE)</f>
        <v>1</v>
      </c>
      <c r="W9" s="100">
        <f ca="1">IF(VLOOKUP(A9,Assess_B_Reference,34,FALSE)=8,0,1)</f>
        <v>1</v>
      </c>
      <c r="X9" s="100">
        <f ca="1">W9*V9*4</f>
        <v>4</v>
      </c>
      <c r="Y9" s="75" t="str">
        <f ca="1">AG9&amp;U9</f>
        <v>B.1</v>
      </c>
      <c r="Z9" s="74"/>
      <c r="AA9" s="74"/>
      <c r="AB9" s="74"/>
      <c r="AC9" s="74"/>
      <c r="AD9" s="81"/>
      <c r="AE9" s="81"/>
      <c r="AF9" s="81"/>
      <c r="AG9" s="77"/>
      <c r="AH9" s="81"/>
      <c r="AI9" s="77"/>
      <c r="AJ9" s="74"/>
      <c r="AK9" s="74"/>
      <c r="AL9" s="74"/>
      <c r="AM9" s="74"/>
      <c r="AN9" s="74"/>
      <c r="AO9" s="74"/>
      <c r="AP9" s="74"/>
      <c r="AQ9" s="74"/>
      <c r="AR9" s="74"/>
      <c r="AS9" s="74"/>
      <c r="AT9" s="74"/>
      <c r="AU9" s="74"/>
      <c r="AV9" s="74"/>
    </row>
    <row r="10" spans="1:48" s="75" customFormat="1" ht="150" x14ac:dyDescent="0.25">
      <c r="A10" s="67">
        <v>26</v>
      </c>
      <c r="B10" s="68" t="str">
        <f t="shared" si="0"/>
        <v/>
      </c>
      <c r="C10" s="69">
        <f t="shared" si="1"/>
        <v>3</v>
      </c>
      <c r="D10" s="20"/>
      <c r="E10" s="86" t="str">
        <f t="shared" si="2"/>
        <v/>
      </c>
      <c r="F10" s="147" t="str">
        <f t="shared" si="3"/>
        <v>When determining the style of penetration testing to be part of the scope, you should: evaluate the need for black, grey or white box testing; consider the use of an ‘external’ penetration test, aimed at IT systems from ‘outside the building’ and / or an internal security test, end-to-end testing (i.e. for people, through data, devices, applications and infrastructure), emerging technologies (e.g. mobile applications); and social engineering. The type of testing to consider as part of the scope should include web application, IT infrastructure and specialised penetration testing, as well as whether or not testing should be performed in live and / or test environments.</v>
      </c>
      <c r="G10" s="177"/>
      <c r="H10" s="177"/>
      <c r="I10" s="71"/>
      <c r="J10" s="69"/>
      <c r="K10" s="69"/>
      <c r="L10" s="69"/>
      <c r="M10" s="69"/>
      <c r="N10" s="69"/>
      <c r="O10" s="69"/>
      <c r="P10" s="69"/>
      <c r="Q10" s="69"/>
      <c r="R10" s="69"/>
      <c r="S10" s="69"/>
      <c r="T10" s="76"/>
      <c r="U10" s="76"/>
      <c r="V10" s="76"/>
      <c r="W10" s="76"/>
      <c r="X10" s="76"/>
      <c r="Z10" s="74"/>
      <c r="AA10" s="74"/>
      <c r="AB10" s="74"/>
      <c r="AC10" s="74"/>
      <c r="AD10" s="81"/>
      <c r="AE10" s="81"/>
      <c r="AF10" s="81"/>
      <c r="AG10" s="77"/>
      <c r="AH10" s="81"/>
      <c r="AI10" s="77"/>
      <c r="AJ10" s="74"/>
      <c r="AK10" s="74"/>
      <c r="AL10" s="74"/>
      <c r="AM10" s="74"/>
      <c r="AN10" s="74"/>
      <c r="AO10" s="74"/>
      <c r="AP10" s="74"/>
      <c r="AQ10" s="74"/>
      <c r="AR10" s="74"/>
      <c r="AS10" s="74"/>
      <c r="AT10" s="74"/>
      <c r="AU10" s="74"/>
      <c r="AV10" s="74"/>
    </row>
    <row r="11" spans="1:48" s="75" customFormat="1" ht="30" customHeight="1" x14ac:dyDescent="0.25">
      <c r="A11" s="67">
        <v>27</v>
      </c>
      <c r="B11" s="68" t="str">
        <f t="shared" si="0"/>
        <v>B.2</v>
      </c>
      <c r="C11" s="69">
        <f t="shared" si="1"/>
        <v>2</v>
      </c>
      <c r="D11" s="20"/>
      <c r="E11" s="105" t="str">
        <f t="shared" si="2"/>
        <v>Step 2</v>
      </c>
      <c r="F11" s="102" t="str">
        <f t="shared" si="3"/>
        <v>Identify testing constraints</v>
      </c>
      <c r="G11" s="175" t="str">
        <f ca="1">"Maturity level:  "&amp;O11</f>
        <v>Maturity level:  Level 1</v>
      </c>
      <c r="H11" s="176"/>
      <c r="I11" s="153"/>
      <c r="J11" s="101"/>
      <c r="K11" s="101"/>
      <c r="L11" s="101" t="str">
        <f>TEXT(B11,"0.0")</f>
        <v>B.2</v>
      </c>
      <c r="M11" s="100">
        <f ca="1">SUMIF(Y:Y,L11,G:G)/(SUMIF(Y:Y,L11,X:X))</f>
        <v>0</v>
      </c>
      <c r="N11" s="100" t="str">
        <f ca="1">HLOOKUP(M11*100,level_ref,2,TRUE)</f>
        <v>Level 1</v>
      </c>
      <c r="O11" s="100" t="str">
        <f ca="1">IF(ISERROR(N11),"",N11)</f>
        <v>Level 1</v>
      </c>
      <c r="P11" s="100">
        <f ca="1">HLOOKUP(M11*100,level_ref,3,TRUE)</f>
        <v>1</v>
      </c>
      <c r="Q11" s="100">
        <f ca="1">IF(ISERROR(P11),"",P11)</f>
        <v>1</v>
      </c>
      <c r="R11" s="100">
        <f ca="1">M11*5</f>
        <v>0</v>
      </c>
      <c r="S11" s="100"/>
      <c r="T11" s="100"/>
      <c r="U11" s="100" t="str">
        <f ca="1">IF(AND(C11&gt;4,VLOOKUP(A11,Assess_B_Reference,34,FALSE)&lt;&gt;8),LEFT(B11,3),"")</f>
        <v/>
      </c>
      <c r="V11" s="100">
        <f ca="1">VLOOKUP(A11,Weightings_Assessments,24,FALSE)</f>
        <v>0</v>
      </c>
      <c r="W11" s="100">
        <f ca="1">IF(VLOOKUP(A11,Assess_B_Reference,34,FALSE)=8,0,1)</f>
        <v>1</v>
      </c>
      <c r="X11" s="100">
        <f ca="1">W11*V11*4</f>
        <v>0</v>
      </c>
      <c r="Y11" s="75" t="str">
        <f ca="1">AG11&amp;U11</f>
        <v/>
      </c>
      <c r="Z11" s="74"/>
      <c r="AA11" s="74"/>
      <c r="AB11" s="74"/>
      <c r="AC11" s="74"/>
      <c r="AD11" s="81"/>
      <c r="AE11" s="81"/>
      <c r="AF11" s="81"/>
      <c r="AG11" s="77"/>
      <c r="AH11" s="81"/>
      <c r="AI11" s="77"/>
      <c r="AJ11" s="74"/>
      <c r="AK11" s="74"/>
      <c r="AL11" s="74"/>
      <c r="AM11" s="74"/>
      <c r="AN11" s="74"/>
      <c r="AO11" s="74"/>
      <c r="AP11" s="74"/>
      <c r="AQ11" s="74"/>
      <c r="AR11" s="74"/>
      <c r="AS11" s="74"/>
      <c r="AT11" s="74"/>
      <c r="AU11" s="74"/>
      <c r="AV11" s="74"/>
    </row>
    <row r="12" spans="1:48" s="75" customFormat="1" ht="30" x14ac:dyDescent="0.25">
      <c r="A12" s="67">
        <v>28</v>
      </c>
      <c r="B12" s="68" t="str">
        <f t="shared" si="0"/>
        <v>B.2.01</v>
      </c>
      <c r="C12" s="69">
        <f t="shared" si="1"/>
        <v>5</v>
      </c>
      <c r="D12" s="20"/>
      <c r="E12" s="86" t="str">
        <f t="shared" si="2"/>
        <v>B.2.01</v>
      </c>
      <c r="F12" s="71" t="str">
        <f t="shared" si="3"/>
        <v>Do you identify any testing constraints associated with planned penetration testing?</v>
      </c>
      <c r="G12" s="177" t="str">
        <f ca="1">VLOOKUP($A12,Assess_B_Reference,15,FALSE)</f>
        <v/>
      </c>
      <c r="H12" s="177">
        <f ca="1">(VLOOKUP(LEFT($B12,3),targets_lookup,5,FALSE))*VLOOKUP($A12,Weightings_Assessments,23,FALSE)</f>
        <v>2</v>
      </c>
      <c r="I12" s="71" t="str">
        <f ca="1">IF(VLOOKUP(A12,Assess_B_Reference,16,FALSE)=0,"",VLOOKUP(A12,Assess_B_Reference,16,FALSE))</f>
        <v/>
      </c>
      <c r="J12" s="69"/>
      <c r="K12" s="69"/>
      <c r="L12" s="69"/>
      <c r="M12" s="69"/>
      <c r="N12" s="69"/>
      <c r="O12" s="69"/>
      <c r="P12" s="69"/>
      <c r="Q12" s="69"/>
      <c r="R12" s="69"/>
      <c r="S12" s="69"/>
      <c r="T12" s="76"/>
      <c r="U12" s="100" t="str">
        <f ca="1">IF(AND(C12&gt;4,VLOOKUP(A12,Assess_B_Reference,34,FALSE)&lt;&gt;8),LEFT(B12,3),"")</f>
        <v>B.2</v>
      </c>
      <c r="V12" s="100">
        <f ca="1">VLOOKUP(A12,Weightings_Assessments,24,FALSE)</f>
        <v>1</v>
      </c>
      <c r="W12" s="100">
        <f ca="1">IF(VLOOKUP(A12,Assess_B_Reference,34,FALSE)=8,0,1)</f>
        <v>1</v>
      </c>
      <c r="X12" s="100">
        <f ca="1">W12*V12*4</f>
        <v>4</v>
      </c>
      <c r="Y12" s="75" t="str">
        <f ca="1">AG12&amp;U12</f>
        <v>B.2</v>
      </c>
      <c r="Z12" s="74"/>
      <c r="AA12" s="74"/>
      <c r="AB12" s="74"/>
      <c r="AC12" s="74"/>
      <c r="AD12" s="81"/>
      <c r="AE12" s="81"/>
      <c r="AF12" s="81"/>
      <c r="AG12" s="77"/>
      <c r="AH12" s="81"/>
      <c r="AI12" s="77"/>
      <c r="AJ12" s="74"/>
      <c r="AK12" s="74"/>
      <c r="AL12" s="74"/>
      <c r="AM12" s="74"/>
      <c r="AN12" s="74"/>
      <c r="AO12" s="74"/>
      <c r="AP12" s="74"/>
      <c r="AQ12" s="74"/>
      <c r="AR12" s="74"/>
      <c r="AS12" s="74"/>
      <c r="AT12" s="74"/>
      <c r="AU12" s="74"/>
      <c r="AV12" s="74"/>
    </row>
    <row r="13" spans="1:48" s="75" customFormat="1" ht="60" x14ac:dyDescent="0.25">
      <c r="A13" s="67">
        <v>29</v>
      </c>
      <c r="B13" s="68" t="str">
        <f t="shared" si="0"/>
        <v/>
      </c>
      <c r="C13" s="69">
        <f t="shared" si="1"/>
        <v>3</v>
      </c>
      <c r="D13" s="20"/>
      <c r="E13" s="86" t="str">
        <f t="shared" si="2"/>
        <v/>
      </c>
      <c r="F13" s="147" t="str">
        <f t="shared" si="3"/>
        <v>Testing constraints can include: aspects of the business that cannot be tested due to operational and technical limitations; legal, resourcing or time restrictions; and the likelihood that most penetration testing will not find all vulnerabilities of a given environment.</v>
      </c>
      <c r="G13" s="177"/>
      <c r="H13" s="177"/>
      <c r="I13" s="71"/>
      <c r="J13" s="69"/>
      <c r="K13" s="69"/>
      <c r="L13" s="69"/>
      <c r="M13" s="69"/>
      <c r="N13" s="69"/>
      <c r="O13" s="69"/>
      <c r="P13" s="69"/>
      <c r="Q13" s="69"/>
      <c r="R13" s="69"/>
      <c r="S13" s="69"/>
      <c r="T13" s="76"/>
      <c r="U13" s="76"/>
      <c r="V13" s="76"/>
      <c r="W13" s="76"/>
      <c r="X13" s="76"/>
      <c r="Z13" s="74"/>
      <c r="AA13" s="74"/>
      <c r="AB13" s="74"/>
      <c r="AC13" s="74"/>
      <c r="AD13" s="81"/>
      <c r="AE13" s="81"/>
      <c r="AF13" s="81"/>
      <c r="AG13" s="77"/>
      <c r="AH13" s="81"/>
      <c r="AI13" s="77"/>
      <c r="AJ13" s="74"/>
      <c r="AK13" s="74"/>
      <c r="AL13" s="74"/>
      <c r="AM13" s="74"/>
      <c r="AN13" s="74"/>
      <c r="AO13" s="74"/>
      <c r="AP13" s="74"/>
      <c r="AQ13" s="74"/>
      <c r="AR13" s="74"/>
      <c r="AS13" s="74"/>
      <c r="AT13" s="74"/>
      <c r="AU13" s="74"/>
      <c r="AV13" s="74"/>
    </row>
    <row r="14" spans="1:48" s="75" customFormat="1" ht="30" customHeight="1" x14ac:dyDescent="0.25">
      <c r="A14" s="67">
        <v>30</v>
      </c>
      <c r="B14" s="68" t="str">
        <f t="shared" si="0"/>
        <v>B.3</v>
      </c>
      <c r="C14" s="69">
        <f t="shared" si="1"/>
        <v>2</v>
      </c>
      <c r="D14" s="20"/>
      <c r="E14" s="105" t="str">
        <f t="shared" si="2"/>
        <v>Step 3</v>
      </c>
      <c r="F14" s="102" t="str">
        <f t="shared" si="3"/>
        <v>Produce scope statements</v>
      </c>
      <c r="G14" s="175" t="str">
        <f ca="1">"Maturity level:  "&amp;O14</f>
        <v>Maturity level:  Level 1</v>
      </c>
      <c r="H14" s="176"/>
      <c r="I14" s="153"/>
      <c r="J14" s="101"/>
      <c r="K14" s="101"/>
      <c r="L14" s="101" t="str">
        <f>TEXT(B14,"0.0")</f>
        <v>B.3</v>
      </c>
      <c r="M14" s="100">
        <f ca="1">SUMIF(Y:Y,L14,G:G)/(SUMIF(Y:Y,L14,X:X))</f>
        <v>0</v>
      </c>
      <c r="N14" s="100" t="str">
        <f ca="1">HLOOKUP(M14*100,level_ref,2,TRUE)</f>
        <v>Level 1</v>
      </c>
      <c r="O14" s="100" t="str">
        <f ca="1">IF(ISERROR(N14),"",N14)</f>
        <v>Level 1</v>
      </c>
      <c r="P14" s="100">
        <f ca="1">HLOOKUP(M14*100,level_ref,3,TRUE)</f>
        <v>1</v>
      </c>
      <c r="Q14" s="100">
        <f ca="1">IF(ISERROR(P14),"",P14)</f>
        <v>1</v>
      </c>
      <c r="R14" s="100">
        <f ca="1">M14*5</f>
        <v>0</v>
      </c>
      <c r="S14" s="100"/>
      <c r="T14" s="100"/>
      <c r="U14" s="100" t="str">
        <f ca="1">IF(AND(C14&gt;4,VLOOKUP(A14,Assess_B_Reference,34,FALSE)&lt;&gt;8),LEFT(B14,3),"")</f>
        <v/>
      </c>
      <c r="V14" s="100">
        <f ca="1">VLOOKUP(A14,Weightings_Assessments,24,FALSE)</f>
        <v>0</v>
      </c>
      <c r="W14" s="100">
        <f ca="1">IF(VLOOKUP(A14,Assess_B_Reference,34,FALSE)=8,0,1)</f>
        <v>1</v>
      </c>
      <c r="X14" s="100">
        <f ca="1">W14*V14*4</f>
        <v>0</v>
      </c>
      <c r="Y14" s="75" t="str">
        <f ca="1">AG14&amp;U14</f>
        <v/>
      </c>
      <c r="Z14" s="74"/>
      <c r="AA14" s="74"/>
      <c r="AB14" s="74"/>
      <c r="AC14" s="74"/>
      <c r="AD14" s="81"/>
      <c r="AE14" s="81"/>
      <c r="AF14" s="81"/>
      <c r="AG14" s="77"/>
      <c r="AH14" s="81"/>
      <c r="AI14" s="77"/>
      <c r="AJ14" s="74"/>
      <c r="AK14" s="74"/>
      <c r="AL14" s="74"/>
      <c r="AM14" s="74"/>
      <c r="AN14" s="74"/>
      <c r="AO14" s="74"/>
      <c r="AP14" s="74"/>
      <c r="AQ14" s="74"/>
      <c r="AR14" s="74"/>
      <c r="AS14" s="74"/>
      <c r="AT14" s="74"/>
      <c r="AU14" s="74"/>
      <c r="AV14" s="74"/>
    </row>
    <row r="15" spans="1:48" s="75" customFormat="1" ht="45" x14ac:dyDescent="0.25">
      <c r="A15" s="67">
        <v>31</v>
      </c>
      <c r="B15" s="68" t="str">
        <f t="shared" si="0"/>
        <v>B.3.01</v>
      </c>
      <c r="C15" s="69">
        <f t="shared" si="1"/>
        <v>5</v>
      </c>
      <c r="D15" s="20"/>
      <c r="E15" s="86" t="str">
        <f t="shared" si="2"/>
        <v>B.3.01</v>
      </c>
      <c r="F15" s="71" t="str">
        <f t="shared" si="3"/>
        <v>Do you produce formal scope statements for penetration testing, supported by defined reporting requirements, prior to tests commencing?</v>
      </c>
      <c r="G15" s="177" t="str">
        <f ca="1">VLOOKUP($A15,Assess_B_Reference,15,FALSE)</f>
        <v/>
      </c>
      <c r="H15" s="177">
        <f ca="1">(VLOOKUP(LEFT($B15,3),targets_lookup,5,FALSE))*VLOOKUP($A15,Weightings_Assessments,23,FALSE)</f>
        <v>2</v>
      </c>
      <c r="I15" s="71" t="str">
        <f ca="1">IF(VLOOKUP(A15,Assess_B_Reference,16,FALSE)=0,"",VLOOKUP(A15,Assess_B_Reference,16,FALSE))</f>
        <v/>
      </c>
      <c r="J15" s="69"/>
      <c r="K15" s="69"/>
      <c r="L15" s="69"/>
      <c r="M15" s="69"/>
      <c r="N15" s="69"/>
      <c r="O15" s="69"/>
      <c r="P15" s="69"/>
      <c r="Q15" s="69"/>
      <c r="R15" s="69"/>
      <c r="S15" s="69"/>
      <c r="T15" s="76"/>
      <c r="U15" s="100" t="str">
        <f ca="1">IF(AND(C15&gt;4,VLOOKUP(A15,Assess_B_Reference,34,FALSE)&lt;&gt;8),LEFT(B15,3),"")</f>
        <v>B.3</v>
      </c>
      <c r="V15" s="100">
        <f ca="1">VLOOKUP(A15,Weightings_Assessments,24,FALSE)</f>
        <v>1</v>
      </c>
      <c r="W15" s="100">
        <f ca="1">IF(VLOOKUP(A15,Assess_B_Reference,34,FALSE)=8,0,1)</f>
        <v>1</v>
      </c>
      <c r="X15" s="100">
        <f ca="1">W15*V15*4</f>
        <v>4</v>
      </c>
      <c r="Y15" s="75" t="str">
        <f ca="1">AG15&amp;U15</f>
        <v>B.3</v>
      </c>
      <c r="Z15" s="74"/>
      <c r="AA15" s="74"/>
      <c r="AB15" s="74"/>
      <c r="AC15" s="74"/>
      <c r="AD15" s="81"/>
      <c r="AE15" s="81"/>
      <c r="AF15" s="81"/>
      <c r="AG15" s="77"/>
      <c r="AH15" s="81"/>
      <c r="AI15" s="77"/>
      <c r="AJ15" s="74"/>
      <c r="AK15" s="74"/>
      <c r="AL15" s="74"/>
      <c r="AM15" s="74"/>
      <c r="AN15" s="74"/>
      <c r="AO15" s="74"/>
      <c r="AP15" s="74"/>
      <c r="AQ15" s="74"/>
      <c r="AR15" s="74"/>
      <c r="AS15" s="74"/>
      <c r="AT15" s="74"/>
      <c r="AU15" s="74"/>
      <c r="AV15" s="74"/>
    </row>
    <row r="16" spans="1:48" s="75" customFormat="1" ht="135" x14ac:dyDescent="0.25">
      <c r="A16" s="67">
        <v>32</v>
      </c>
      <c r="B16" s="68" t="str">
        <f t="shared" si="0"/>
        <v/>
      </c>
      <c r="C16" s="69">
        <f t="shared" si="1"/>
        <v>3</v>
      </c>
      <c r="D16" s="20"/>
      <c r="E16" s="86" t="str">
        <f t="shared" si="2"/>
        <v/>
      </c>
      <c r="F16" s="147" t="str">
        <f t="shared" si="3"/>
        <v>The scope of penetration tests should: be recorded in a formal document, such as a scope statement, that is signed-off by all relevant parties; include a definition of the target environment; specify resourcing requirements; define liabilities; include follow-up activities; and authorise testing to be conducted. Reporting requirements should specify the format and type of content, when the test report will be delivered, how the test report will be delivered (electronic and / or physical); and arrangements should be made to ensure that your service provider will meet your requirements in a satisfactory manner.</v>
      </c>
      <c r="G16" s="177"/>
      <c r="H16" s="177"/>
      <c r="I16" s="71"/>
      <c r="J16" s="69"/>
      <c r="K16" s="69"/>
      <c r="L16" s="69"/>
      <c r="M16" s="69"/>
      <c r="N16" s="69"/>
      <c r="O16" s="69"/>
      <c r="P16" s="69"/>
      <c r="Q16" s="69"/>
      <c r="R16" s="69"/>
      <c r="S16" s="69"/>
      <c r="T16" s="76"/>
      <c r="U16" s="76"/>
      <c r="V16" s="76"/>
      <c r="W16" s="76"/>
      <c r="X16" s="76"/>
      <c r="Z16" s="74"/>
      <c r="AA16" s="74"/>
      <c r="AB16" s="74"/>
      <c r="AC16" s="74"/>
      <c r="AD16" s="81"/>
      <c r="AE16" s="81"/>
      <c r="AF16" s="81"/>
      <c r="AG16" s="77"/>
      <c r="AH16" s="81"/>
      <c r="AI16" s="77"/>
      <c r="AJ16" s="74"/>
      <c r="AK16" s="74"/>
      <c r="AL16" s="74"/>
      <c r="AM16" s="74"/>
      <c r="AN16" s="74"/>
      <c r="AO16" s="74"/>
      <c r="AP16" s="74"/>
      <c r="AQ16" s="74"/>
      <c r="AR16" s="74"/>
      <c r="AS16" s="74"/>
      <c r="AT16" s="74"/>
      <c r="AU16" s="74"/>
      <c r="AV16" s="74"/>
    </row>
    <row r="17" spans="1:48" s="75" customFormat="1" ht="30" customHeight="1" x14ac:dyDescent="0.25">
      <c r="A17" s="67">
        <v>33</v>
      </c>
      <c r="B17" s="68" t="str">
        <f t="shared" si="0"/>
        <v>B.4</v>
      </c>
      <c r="C17" s="69">
        <f t="shared" si="1"/>
        <v>2</v>
      </c>
      <c r="D17" s="20"/>
      <c r="E17" s="105" t="str">
        <f t="shared" si="2"/>
        <v>Step 4</v>
      </c>
      <c r="F17" s="102" t="str">
        <f t="shared" si="3"/>
        <v>Establish a management assurance framework</v>
      </c>
      <c r="G17" s="175" t="str">
        <f ca="1">"Maturity level:  "&amp;O17</f>
        <v>Maturity level:  Level 1</v>
      </c>
      <c r="H17" s="176"/>
      <c r="I17" s="153"/>
      <c r="J17" s="101"/>
      <c r="K17" s="101"/>
      <c r="L17" s="101" t="str">
        <f>TEXT(B17,"0.0")</f>
        <v>B.4</v>
      </c>
      <c r="M17" s="100">
        <f ca="1">SUMIF(Y:Y,L17,G:G)/(SUMIF(Y:Y,L17,X:X))</f>
        <v>0</v>
      </c>
      <c r="N17" s="100" t="str">
        <f ca="1">HLOOKUP(M17*100,level_ref,2,TRUE)</f>
        <v>Level 1</v>
      </c>
      <c r="O17" s="100" t="str">
        <f ca="1">IF(ISERROR(N17),"",N17)</f>
        <v>Level 1</v>
      </c>
      <c r="P17" s="100">
        <f ca="1">HLOOKUP(M17*100,level_ref,3,TRUE)</f>
        <v>1</v>
      </c>
      <c r="Q17" s="100">
        <f ca="1">IF(ISERROR(P17),"",P17)</f>
        <v>1</v>
      </c>
      <c r="R17" s="100">
        <f ca="1">M17*5</f>
        <v>0</v>
      </c>
      <c r="S17" s="100"/>
      <c r="T17" s="100"/>
      <c r="U17" s="100" t="str">
        <f ca="1">IF(AND(C17&gt;4,VLOOKUP(A17,Assess_B_Reference,34,FALSE)&lt;&gt;8),LEFT(B17,3),"")</f>
        <v/>
      </c>
      <c r="V17" s="100">
        <f ca="1">VLOOKUP(A17,Weightings_Assessments,24,FALSE)</f>
        <v>0</v>
      </c>
      <c r="W17" s="100">
        <f ca="1">IF(VLOOKUP(A17,Assess_B_Reference,34,FALSE)=8,0,1)</f>
        <v>1</v>
      </c>
      <c r="X17" s="100">
        <f ca="1">W17*V17*4</f>
        <v>0</v>
      </c>
      <c r="Y17" s="75" t="str">
        <f ca="1">AG17&amp;U17</f>
        <v/>
      </c>
      <c r="Z17" s="74"/>
      <c r="AA17" s="74"/>
      <c r="AB17" s="74"/>
      <c r="AC17" s="74"/>
      <c r="AD17" s="81"/>
      <c r="AE17" s="81"/>
      <c r="AF17" s="81"/>
      <c r="AG17" s="77"/>
      <c r="AH17" s="81"/>
      <c r="AI17" s="77"/>
      <c r="AJ17" s="74"/>
      <c r="AK17" s="74"/>
      <c r="AL17" s="74"/>
      <c r="AM17" s="74"/>
      <c r="AN17" s="74"/>
      <c r="AO17" s="74"/>
      <c r="AP17" s="74"/>
      <c r="AQ17" s="74"/>
      <c r="AR17" s="74"/>
      <c r="AS17" s="74"/>
      <c r="AT17" s="74"/>
      <c r="AU17" s="74"/>
      <c r="AV17" s="74"/>
    </row>
    <row r="18" spans="1:48" s="75" customFormat="1" ht="75" x14ac:dyDescent="0.25">
      <c r="A18" s="67">
        <v>34</v>
      </c>
      <c r="B18" s="68" t="str">
        <f t="shared" si="0"/>
        <v>B.4.01</v>
      </c>
      <c r="C18" s="69">
        <f t="shared" si="1"/>
        <v>5</v>
      </c>
      <c r="D18" s="20"/>
      <c r="E18" s="86" t="str">
        <f t="shared" si="2"/>
        <v>B.4.01</v>
      </c>
      <c r="F18" s="71" t="str">
        <f t="shared" si="3"/>
        <v>Have you created a documented management assurance framework to help govern all aspects of the penetration test, ensuring that testing meets requirements and testing scope is documented in a comprehensive agreement, defined in a legally binding contact and signed off by all relevant parties before testing starts?</v>
      </c>
      <c r="G18" s="177" t="str">
        <f ca="1">VLOOKUP($A18,Assess_B_Reference,15,FALSE)</f>
        <v/>
      </c>
      <c r="H18" s="177">
        <f ca="1">(VLOOKUP(LEFT($B18,3),targets_lookup,5,FALSE))*VLOOKUP($A18,Weightings_Assessments,23,FALSE)</f>
        <v>2</v>
      </c>
      <c r="I18" s="71" t="str">
        <f ca="1">IF(VLOOKUP(A18,Assess_B_Reference,16,FALSE)=0,"",VLOOKUP(A18,Assess_B_Reference,16,FALSE))</f>
        <v/>
      </c>
      <c r="J18" s="69"/>
      <c r="K18" s="69"/>
      <c r="L18" s="69"/>
      <c r="M18" s="69"/>
      <c r="N18" s="69"/>
      <c r="O18" s="69"/>
      <c r="P18" s="69"/>
      <c r="Q18" s="69"/>
      <c r="R18" s="69"/>
      <c r="S18" s="69"/>
      <c r="T18" s="76"/>
      <c r="U18" s="100" t="str">
        <f ca="1">IF(AND(C18&gt;4,VLOOKUP(A18,Assess_B_Reference,34,FALSE)&lt;&gt;8),LEFT(B18,3),"")</f>
        <v>B.4</v>
      </c>
      <c r="V18" s="100">
        <f ca="1">VLOOKUP(A18,Weightings_Assessments,24,FALSE)</f>
        <v>1</v>
      </c>
      <c r="W18" s="100">
        <f ca="1">IF(VLOOKUP(A18,Assess_B_Reference,34,FALSE)=8,0,1)</f>
        <v>1</v>
      </c>
      <c r="X18" s="100">
        <f ca="1">W18*V18*4</f>
        <v>4</v>
      </c>
      <c r="Y18" s="75" t="str">
        <f ca="1">AG18&amp;U18</f>
        <v>B.4</v>
      </c>
      <c r="Z18" s="74"/>
      <c r="AA18" s="74"/>
      <c r="AB18" s="74"/>
      <c r="AC18" s="74"/>
      <c r="AD18" s="81"/>
      <c r="AE18" s="81"/>
      <c r="AF18" s="81"/>
      <c r="AG18" s="77"/>
      <c r="AH18" s="81"/>
      <c r="AI18" s="77"/>
      <c r="AJ18" s="74"/>
      <c r="AK18" s="74"/>
      <c r="AL18" s="74"/>
      <c r="AM18" s="74"/>
      <c r="AN18" s="74"/>
      <c r="AO18" s="74"/>
      <c r="AP18" s="74"/>
      <c r="AQ18" s="74"/>
      <c r="AR18" s="74"/>
      <c r="AS18" s="74"/>
      <c r="AT18" s="74"/>
      <c r="AU18" s="74"/>
      <c r="AV18" s="74"/>
    </row>
    <row r="19" spans="1:48" s="75" customFormat="1" ht="105" x14ac:dyDescent="0.25">
      <c r="A19" s="67">
        <v>35</v>
      </c>
      <c r="B19" s="68" t="str">
        <f t="shared" si="0"/>
        <v/>
      </c>
      <c r="C19" s="69">
        <f t="shared" si="1"/>
        <v>3</v>
      </c>
      <c r="D19" s="20"/>
      <c r="E19" s="86" t="str">
        <f t="shared" si="2"/>
        <v/>
      </c>
      <c r="F19" s="147" t="str">
        <f t="shared" si="3"/>
        <v>The management assurance framework should provide assurance to stakeholders that: the objectives of penetration tests are achieved; contracts with service providers are defined, agreed, signed off and monitored; risks to your organisation (e.g. degradation or loss of services; disclosure of sensitive information) are kept to a minimum; changes to testing scope are managed effectively; and that any problems are resolved satisfactorily.</v>
      </c>
      <c r="G19" s="177"/>
      <c r="H19" s="177"/>
      <c r="I19" s="71"/>
      <c r="J19" s="69"/>
      <c r="K19" s="69"/>
      <c r="L19" s="69"/>
      <c r="M19" s="69"/>
      <c r="N19" s="69"/>
      <c r="O19" s="69"/>
      <c r="P19" s="69"/>
      <c r="Q19" s="69"/>
      <c r="R19" s="69"/>
      <c r="S19" s="69"/>
      <c r="T19" s="76"/>
      <c r="U19" s="76"/>
      <c r="V19" s="76"/>
      <c r="W19" s="76"/>
      <c r="X19" s="76"/>
      <c r="Z19" s="74"/>
      <c r="AA19" s="74"/>
      <c r="AB19" s="74"/>
      <c r="AC19" s="74"/>
      <c r="AD19" s="81"/>
      <c r="AE19" s="81"/>
      <c r="AF19" s="81"/>
      <c r="AG19" s="77"/>
      <c r="AH19" s="81"/>
      <c r="AI19" s="77"/>
      <c r="AJ19" s="74"/>
      <c r="AK19" s="74"/>
      <c r="AL19" s="74"/>
      <c r="AM19" s="74"/>
      <c r="AN19" s="74"/>
      <c r="AO19" s="74"/>
      <c r="AP19" s="74"/>
      <c r="AQ19" s="74"/>
      <c r="AR19" s="74"/>
      <c r="AS19" s="74"/>
      <c r="AT19" s="74"/>
      <c r="AU19" s="74"/>
      <c r="AV19" s="74"/>
    </row>
    <row r="20" spans="1:48" s="75" customFormat="1" ht="165" x14ac:dyDescent="0.25">
      <c r="A20" s="67">
        <v>36</v>
      </c>
      <c r="B20" s="68" t="str">
        <f t="shared" si="0"/>
        <v/>
      </c>
      <c r="C20" s="69">
        <f t="shared" si="1"/>
        <v>3</v>
      </c>
      <c r="D20" s="20"/>
      <c r="E20" s="86" t="str">
        <f t="shared" si="2"/>
        <v/>
      </c>
      <c r="F20" s="147" t="str">
        <f t="shared" si="3"/>
        <v>Your assurance process should help you to effectively monitor requirements definitions, planning and preparation, as well as performance of the actual testing; and define control processes over all important management aspects of testing. The penetration testing contract should specify explicit exclusions (e.g. systems that are out of scope); any technical and operational constraints; roles and responsibilities for all parties’ concerned; and specific legal / regulatory requirements; together with specific timings and checkpoints; a problem escalation process; post-test corrective action strategy and action plan development; supported by agreed pricing and terms of business.</v>
      </c>
      <c r="G20" s="177"/>
      <c r="H20" s="177"/>
      <c r="I20" s="71"/>
      <c r="J20" s="69"/>
      <c r="K20" s="69"/>
      <c r="L20" s="69"/>
      <c r="M20" s="69"/>
      <c r="N20" s="69"/>
      <c r="O20" s="69"/>
      <c r="P20" s="69"/>
      <c r="Q20" s="69"/>
      <c r="R20" s="69"/>
      <c r="S20" s="69"/>
      <c r="T20" s="76"/>
      <c r="U20" s="76"/>
      <c r="V20" s="76"/>
      <c r="W20" s="76"/>
      <c r="X20" s="76"/>
      <c r="Z20" s="74"/>
      <c r="AA20" s="74"/>
      <c r="AB20" s="74"/>
      <c r="AC20" s="74"/>
      <c r="AD20" s="81"/>
      <c r="AE20" s="81"/>
      <c r="AF20" s="81"/>
      <c r="AG20" s="77"/>
      <c r="AH20" s="81"/>
      <c r="AI20" s="77"/>
      <c r="AJ20" s="74"/>
      <c r="AK20" s="74"/>
      <c r="AL20" s="74"/>
      <c r="AM20" s="74"/>
      <c r="AN20" s="74"/>
      <c r="AO20" s="74"/>
      <c r="AP20" s="74"/>
      <c r="AQ20" s="74"/>
      <c r="AR20" s="74"/>
      <c r="AS20" s="74"/>
      <c r="AT20" s="74"/>
      <c r="AU20" s="74"/>
      <c r="AV20" s="74"/>
    </row>
    <row r="21" spans="1:48" s="75" customFormat="1" ht="30" customHeight="1" x14ac:dyDescent="0.25">
      <c r="A21" s="67">
        <v>37</v>
      </c>
      <c r="B21" s="68" t="str">
        <f t="shared" si="0"/>
        <v>B.5</v>
      </c>
      <c r="C21" s="69">
        <f t="shared" si="1"/>
        <v>2</v>
      </c>
      <c r="D21" s="20"/>
      <c r="E21" s="105" t="str">
        <f t="shared" si="2"/>
        <v>Step 5</v>
      </c>
      <c r="F21" s="102" t="str">
        <f t="shared" si="3"/>
        <v>Implement management control processes</v>
      </c>
      <c r="G21" s="175" t="str">
        <f ca="1">"Maturity level:  "&amp;O21</f>
        <v>Maturity level:  Level 1</v>
      </c>
      <c r="H21" s="176"/>
      <c r="I21" s="153"/>
      <c r="J21" s="101"/>
      <c r="K21" s="101"/>
      <c r="L21" s="101" t="str">
        <f>TEXT(B21,"0.0")</f>
        <v>B.5</v>
      </c>
      <c r="M21" s="100">
        <f ca="1">SUMIF(Y:Y,L21,G:G)/(SUMIF(Y:Y,L21,X:X))</f>
        <v>0</v>
      </c>
      <c r="N21" s="100" t="str">
        <f ca="1">HLOOKUP(M21*100,level_ref,2,TRUE)</f>
        <v>Level 1</v>
      </c>
      <c r="O21" s="100" t="str">
        <f ca="1">IF(ISERROR(N21),"",N21)</f>
        <v>Level 1</v>
      </c>
      <c r="P21" s="100">
        <f ca="1">HLOOKUP(M21*100,level_ref,3,TRUE)</f>
        <v>1</v>
      </c>
      <c r="Q21" s="100">
        <f ca="1">IF(ISERROR(P21),"",P21)</f>
        <v>1</v>
      </c>
      <c r="R21" s="100">
        <f ca="1">M21*5</f>
        <v>0</v>
      </c>
      <c r="S21" s="100"/>
      <c r="T21" s="100"/>
      <c r="U21" s="100" t="str">
        <f ca="1">IF(AND(C21&gt;4,VLOOKUP(A21,Assess_B_Reference,34,FALSE)&lt;&gt;8),LEFT(B21,3),"")</f>
        <v/>
      </c>
      <c r="V21" s="100">
        <f ca="1">VLOOKUP(A21,Weightings_Assessments,24,FALSE)</f>
        <v>0</v>
      </c>
      <c r="W21" s="100">
        <f ca="1">IF(VLOOKUP(A21,Assess_B_Reference,34,FALSE)=8,0,1)</f>
        <v>1</v>
      </c>
      <c r="X21" s="100">
        <f ca="1">W21*V21*4</f>
        <v>0</v>
      </c>
      <c r="Y21" s="75" t="str">
        <f ca="1">AG21&amp;U21</f>
        <v/>
      </c>
      <c r="Z21" s="74"/>
      <c r="AA21" s="74"/>
      <c r="AB21" s="74"/>
      <c r="AC21" s="74"/>
      <c r="AD21" s="81"/>
      <c r="AE21" s="81"/>
      <c r="AF21" s="81"/>
      <c r="AG21" s="77"/>
      <c r="AH21" s="81"/>
      <c r="AI21" s="77"/>
      <c r="AJ21" s="74"/>
      <c r="AK21" s="74"/>
      <c r="AL21" s="74"/>
      <c r="AM21" s="74"/>
      <c r="AN21" s="74"/>
      <c r="AO21" s="74"/>
      <c r="AP21" s="74"/>
      <c r="AQ21" s="74"/>
      <c r="AR21" s="74"/>
      <c r="AS21" s="74"/>
      <c r="AT21" s="74"/>
      <c r="AU21" s="74"/>
      <c r="AV21" s="74"/>
    </row>
    <row r="22" spans="1:48" s="75" customFormat="1" ht="30" x14ac:dyDescent="0.25">
      <c r="A22" s="67">
        <v>38</v>
      </c>
      <c r="B22" s="68" t="str">
        <f t="shared" si="0"/>
        <v>B.5.01</v>
      </c>
      <c r="C22" s="69">
        <f t="shared" si="1"/>
        <v>5</v>
      </c>
      <c r="D22" s="20"/>
      <c r="E22" s="86" t="str">
        <f t="shared" si="2"/>
        <v>B.5.01</v>
      </c>
      <c r="F22" s="71" t="str">
        <f t="shared" si="3"/>
        <v>Have you implemented effective risk, change and problem management processes that apply to all aspects of penetration testing?</v>
      </c>
      <c r="G22" s="177" t="str">
        <f ca="1">VLOOKUP($A22,Assess_B_Reference,15,FALSE)</f>
        <v/>
      </c>
      <c r="H22" s="177">
        <f ca="1">(VLOOKUP(LEFT($B22,3),targets_lookup,5,FALSE))*VLOOKUP($A22,Weightings_Assessments,23,FALSE)</f>
        <v>2</v>
      </c>
      <c r="I22" s="71" t="str">
        <f ca="1">IF(VLOOKUP(A22,Assess_B_Reference,16,FALSE)=0,"",VLOOKUP(A22,Assess_B_Reference,16,FALSE))</f>
        <v/>
      </c>
      <c r="J22" s="69"/>
      <c r="K22" s="69"/>
      <c r="L22" s="69"/>
      <c r="M22" s="69"/>
      <c r="N22" s="69"/>
      <c r="O22" s="69"/>
      <c r="P22" s="69"/>
      <c r="Q22" s="69"/>
      <c r="R22" s="69"/>
      <c r="S22" s="69"/>
      <c r="T22" s="76"/>
      <c r="U22" s="100" t="str">
        <f ca="1">IF(AND(C22&gt;4,VLOOKUP(A22,Assess_B_Reference,34,FALSE)&lt;&gt;8),LEFT(B22,3),"")</f>
        <v>B.5</v>
      </c>
      <c r="V22" s="100">
        <f ca="1">VLOOKUP(A22,Weightings_Assessments,24,FALSE)</f>
        <v>1</v>
      </c>
      <c r="W22" s="100">
        <f ca="1">IF(VLOOKUP(A22,Assess_B_Reference,34,FALSE)=8,0,1)</f>
        <v>1</v>
      </c>
      <c r="X22" s="100">
        <f ca="1">W22*V22*4</f>
        <v>4</v>
      </c>
      <c r="Y22" s="75" t="str">
        <f ca="1">AG22&amp;U22</f>
        <v>B.5</v>
      </c>
      <c r="Z22" s="74"/>
      <c r="AA22" s="74"/>
      <c r="AB22" s="74"/>
      <c r="AC22" s="74"/>
      <c r="AD22" s="81"/>
      <c r="AE22" s="81"/>
      <c r="AF22" s="81"/>
      <c r="AG22" s="77"/>
      <c r="AH22" s="81"/>
      <c r="AI22" s="77"/>
      <c r="AJ22" s="74"/>
      <c r="AK22" s="74"/>
      <c r="AL22" s="74"/>
      <c r="AM22" s="74"/>
      <c r="AN22" s="74"/>
      <c r="AO22" s="74"/>
      <c r="AP22" s="74"/>
      <c r="AQ22" s="74"/>
      <c r="AR22" s="74"/>
      <c r="AS22" s="74"/>
      <c r="AT22" s="74"/>
      <c r="AU22" s="74"/>
      <c r="AV22" s="74"/>
    </row>
    <row r="23" spans="1:48" s="75" customFormat="1" ht="180" x14ac:dyDescent="0.25">
      <c r="A23" s="67">
        <v>39</v>
      </c>
      <c r="B23" s="68" t="str">
        <f t="shared" si="0"/>
        <v/>
      </c>
      <c r="C23" s="69">
        <f t="shared" si="1"/>
        <v>3</v>
      </c>
      <c r="D23" s="20"/>
      <c r="E23" s="86" t="str">
        <f t="shared" si="2"/>
        <v/>
      </c>
      <c r="F23" s="147" t="str">
        <f t="shared" si="3"/>
        <v>Methods of keeping risks to a minimum include: carrying out planning in advance; having a clear definition of scope; using predefined escalation procedures; supported by the use of individual testers with relevant experience and qualifications, working for certified organisations. An effective change management process should: cover changes to the scope of the penetration test, organisational controls and the individuals on the testing team; ensure that all parties involved adhere to the process and that changes to penetration testing are made quickly and efficiently. An effective problem management process should cover: tests not working as planned; problems caused as a result of the penetration testing; breaches of contract or codes of conduct; and effective, timely, problem resolution.</v>
      </c>
      <c r="G23" s="177"/>
      <c r="H23" s="177"/>
      <c r="I23" s="71"/>
      <c r="J23" s="69"/>
      <c r="K23" s="69"/>
      <c r="L23" s="69"/>
      <c r="M23" s="69"/>
      <c r="N23" s="69"/>
      <c r="O23" s="69"/>
      <c r="P23" s="69"/>
      <c r="Q23" s="69"/>
      <c r="R23" s="69"/>
      <c r="S23" s="69"/>
      <c r="T23" s="76"/>
      <c r="U23" s="76"/>
      <c r="V23" s="76"/>
      <c r="W23" s="76"/>
      <c r="X23" s="76"/>
      <c r="Z23" s="74"/>
      <c r="AA23" s="74"/>
      <c r="AB23" s="74"/>
      <c r="AC23" s="74"/>
      <c r="AD23" s="81"/>
      <c r="AE23" s="81"/>
      <c r="AF23" s="81"/>
      <c r="AG23" s="77"/>
      <c r="AH23" s="81"/>
      <c r="AI23" s="77"/>
      <c r="AJ23" s="74"/>
      <c r="AK23" s="74"/>
      <c r="AL23" s="74"/>
      <c r="AM23" s="74"/>
      <c r="AN23" s="74"/>
      <c r="AO23" s="74"/>
      <c r="AP23" s="74"/>
      <c r="AQ23" s="74"/>
      <c r="AR23" s="74"/>
      <c r="AS23" s="74"/>
      <c r="AT23" s="74"/>
      <c r="AU23" s="74"/>
      <c r="AV23" s="74"/>
    </row>
    <row r="24" spans="1:48" s="75" customFormat="1" ht="30" customHeight="1" x14ac:dyDescent="0.25">
      <c r="A24" s="67">
        <v>40</v>
      </c>
      <c r="B24" s="68" t="str">
        <f t="shared" si="0"/>
        <v>B.6</v>
      </c>
      <c r="C24" s="69">
        <f t="shared" si="1"/>
        <v>2</v>
      </c>
      <c r="D24" s="20"/>
      <c r="E24" s="105" t="str">
        <f t="shared" si="2"/>
        <v>Step 6</v>
      </c>
      <c r="F24" s="102" t="str">
        <f t="shared" si="3"/>
        <v>Use an effective testing methodology</v>
      </c>
      <c r="G24" s="175" t="str">
        <f ca="1">"Maturity level:  "&amp;O24</f>
        <v>Maturity level:  Level 1</v>
      </c>
      <c r="H24" s="176"/>
      <c r="I24" s="153"/>
      <c r="J24" s="101"/>
      <c r="K24" s="101"/>
      <c r="L24" s="101" t="str">
        <f>TEXT(B24,"0.0")</f>
        <v>B.6</v>
      </c>
      <c r="M24" s="100">
        <f ca="1">SUMIF(Y:Y,L24,G:G)/(SUMIF(Y:Y,L24,X:X))</f>
        <v>0</v>
      </c>
      <c r="N24" s="100" t="str">
        <f ca="1">HLOOKUP(M24*100,level_ref,2,TRUE)</f>
        <v>Level 1</v>
      </c>
      <c r="O24" s="100" t="str">
        <f ca="1">IF(ISERROR(N24),"",N24)</f>
        <v>Level 1</v>
      </c>
      <c r="P24" s="100">
        <f ca="1">HLOOKUP(M24*100,level_ref,3,TRUE)</f>
        <v>1</v>
      </c>
      <c r="Q24" s="100">
        <f ca="1">IF(ISERROR(P24),"",P24)</f>
        <v>1</v>
      </c>
      <c r="R24" s="100">
        <f ca="1">M24*5</f>
        <v>0</v>
      </c>
      <c r="S24" s="100"/>
      <c r="T24" s="100"/>
      <c r="U24" s="100" t="str">
        <f ca="1">IF(AND(C24&gt;4,VLOOKUP(A24,Assess_B_Reference,34,FALSE)&lt;&gt;8),LEFT(B24,3),"")</f>
        <v/>
      </c>
      <c r="V24" s="100">
        <f ca="1">VLOOKUP(A24,Weightings_Assessments,24,FALSE)</f>
        <v>0</v>
      </c>
      <c r="W24" s="100">
        <f ca="1">IF(VLOOKUP(A24,Assess_B_Reference,34,FALSE)=8,0,1)</f>
        <v>1</v>
      </c>
      <c r="X24" s="100">
        <f ca="1">W24*V24*4</f>
        <v>0</v>
      </c>
      <c r="Y24" s="75" t="str">
        <f ca="1">AG24&amp;U24</f>
        <v/>
      </c>
      <c r="Z24" s="74"/>
      <c r="AA24" s="74"/>
      <c r="AB24" s="74"/>
      <c r="AC24" s="74"/>
      <c r="AD24" s="81"/>
      <c r="AE24" s="81"/>
      <c r="AF24" s="81"/>
      <c r="AG24" s="77"/>
      <c r="AH24" s="81"/>
      <c r="AI24" s="77"/>
      <c r="AJ24" s="74"/>
      <c r="AK24" s="74"/>
      <c r="AL24" s="74"/>
      <c r="AM24" s="74"/>
      <c r="AN24" s="74"/>
      <c r="AO24" s="74"/>
      <c r="AP24" s="74"/>
      <c r="AQ24" s="74"/>
      <c r="AR24" s="74"/>
      <c r="AS24" s="74"/>
      <c r="AT24" s="74"/>
      <c r="AU24" s="74"/>
      <c r="AV24" s="74"/>
    </row>
    <row r="25" spans="1:48" s="75" customFormat="1" ht="30" x14ac:dyDescent="0.25">
      <c r="A25" s="67">
        <v>41</v>
      </c>
      <c r="B25" s="68" t="str">
        <f t="shared" si="0"/>
        <v>B.6.01</v>
      </c>
      <c r="C25" s="69">
        <f t="shared" si="1"/>
        <v>5</v>
      </c>
      <c r="D25" s="20"/>
      <c r="E25" s="86" t="str">
        <f t="shared" si="2"/>
        <v>B.6.01</v>
      </c>
      <c r="F25" s="71" t="str">
        <f t="shared" si="3"/>
        <v>When conducting penetration tests do you use a systematic, structured testing methodology?</v>
      </c>
      <c r="G25" s="177" t="str">
        <f ca="1">VLOOKUP($A25,Assess_B_Reference,15,FALSE)</f>
        <v/>
      </c>
      <c r="H25" s="177">
        <f ca="1">(VLOOKUP(LEFT($B25,3),targets_lookup,5,FALSE))*VLOOKUP($A25,Weightings_Assessments,23,FALSE)</f>
        <v>2</v>
      </c>
      <c r="I25" s="71" t="str">
        <f ca="1">IF(VLOOKUP(A25,Assess_B_Reference,16,FALSE)=0,"",VLOOKUP(A25,Assess_B_Reference,16,FALSE))</f>
        <v/>
      </c>
      <c r="J25" s="69"/>
      <c r="K25" s="69"/>
      <c r="L25" s="69"/>
      <c r="M25" s="69"/>
      <c r="N25" s="69"/>
      <c r="O25" s="69"/>
      <c r="P25" s="69"/>
      <c r="Q25" s="69"/>
      <c r="R25" s="69"/>
      <c r="S25" s="69"/>
      <c r="T25" s="76"/>
      <c r="U25" s="100" t="str">
        <f ca="1">IF(AND(C25&gt;4,VLOOKUP(A25,Assess_B_Reference,34,FALSE)&lt;&gt;8),LEFT(B25,3),"")</f>
        <v>B.6</v>
      </c>
      <c r="V25" s="100">
        <f ca="1">VLOOKUP(A25,Weightings_Assessments,24,FALSE)</f>
        <v>1</v>
      </c>
      <c r="W25" s="100">
        <f ca="1">IF(VLOOKUP(A25,Assess_B_Reference,34,FALSE)=8,0,1)</f>
        <v>1</v>
      </c>
      <c r="X25" s="100">
        <f ca="1">W25*V25*4</f>
        <v>4</v>
      </c>
      <c r="Y25" s="75" t="str">
        <f ca="1">AG25&amp;U25</f>
        <v>B.6</v>
      </c>
      <c r="Z25" s="74"/>
      <c r="AA25" s="74"/>
      <c r="AB25" s="74"/>
      <c r="AC25" s="74"/>
      <c r="AD25" s="81"/>
      <c r="AE25" s="81"/>
      <c r="AF25" s="81"/>
      <c r="AG25" s="77"/>
      <c r="AH25" s="81"/>
      <c r="AI25" s="77"/>
      <c r="AJ25" s="74"/>
      <c r="AK25" s="74"/>
      <c r="AL25" s="74"/>
      <c r="AM25" s="74"/>
      <c r="AN25" s="74"/>
      <c r="AO25" s="74"/>
      <c r="AP25" s="74"/>
      <c r="AQ25" s="74"/>
      <c r="AR25" s="74"/>
      <c r="AS25" s="74"/>
      <c r="AT25" s="74"/>
      <c r="AU25" s="74"/>
      <c r="AV25" s="74"/>
    </row>
    <row r="26" spans="1:48" s="75" customFormat="1" ht="90" x14ac:dyDescent="0.25">
      <c r="A26" s="67">
        <v>42</v>
      </c>
      <c r="B26" s="68" t="str">
        <f t="shared" si="0"/>
        <v/>
      </c>
      <c r="C26" s="69">
        <f t="shared" si="1"/>
        <v>3</v>
      </c>
      <c r="D26" s="20"/>
      <c r="E26" s="86" t="str">
        <f t="shared" si="2"/>
        <v/>
      </c>
      <c r="F26" s="147" t="str">
        <f t="shared" si="3"/>
        <v>A systematic, structured testing methodology should: be based on proven approaches designed by authoritative publicly available sources; detail specific evaluation or testing criteria; adhere to a standard common language and scope for performing penetration testing; and specify a required approach (or approaches) for carrying out all stages of a comprehensive end-to-end penetration test.</v>
      </c>
      <c r="G26" s="177"/>
      <c r="H26" s="177"/>
      <c r="I26" s="71"/>
      <c r="J26" s="69"/>
      <c r="K26" s="69"/>
      <c r="L26" s="69"/>
      <c r="M26" s="69"/>
      <c r="N26" s="69"/>
      <c r="O26" s="69"/>
      <c r="P26" s="69"/>
      <c r="Q26" s="69"/>
      <c r="R26" s="69"/>
      <c r="S26" s="69"/>
      <c r="T26" s="76"/>
      <c r="U26" s="76"/>
      <c r="V26" s="76"/>
      <c r="W26" s="76"/>
      <c r="X26" s="76"/>
      <c r="Z26" s="74"/>
      <c r="AA26" s="74"/>
      <c r="AB26" s="74"/>
      <c r="AC26" s="74"/>
      <c r="AD26" s="81"/>
      <c r="AE26" s="81"/>
      <c r="AF26" s="81"/>
      <c r="AG26" s="77"/>
      <c r="AH26" s="81"/>
      <c r="AI26" s="77"/>
      <c r="AJ26" s="74"/>
      <c r="AK26" s="74"/>
      <c r="AL26" s="74"/>
      <c r="AM26" s="74"/>
      <c r="AN26" s="74"/>
      <c r="AO26" s="74"/>
      <c r="AP26" s="74"/>
      <c r="AQ26" s="74"/>
      <c r="AR26" s="74"/>
      <c r="AS26" s="74"/>
      <c r="AT26" s="74"/>
      <c r="AU26" s="74"/>
      <c r="AV26" s="74"/>
    </row>
    <row r="27" spans="1:48" s="75" customFormat="1" ht="30" customHeight="1" x14ac:dyDescent="0.25">
      <c r="A27" s="67">
        <v>43</v>
      </c>
      <c r="B27" s="68" t="str">
        <f t="shared" si="0"/>
        <v>B.7</v>
      </c>
      <c r="C27" s="69">
        <f t="shared" si="1"/>
        <v>2</v>
      </c>
      <c r="D27" s="20"/>
      <c r="E27" s="105" t="str">
        <f t="shared" si="2"/>
        <v>Step 7</v>
      </c>
      <c r="F27" s="102" t="str">
        <f t="shared" si="3"/>
        <v>Conduct sufficient research and planning</v>
      </c>
      <c r="G27" s="175" t="str">
        <f ca="1">"Maturity level:  "&amp;O27</f>
        <v>Maturity level:  Level 1</v>
      </c>
      <c r="H27" s="176"/>
      <c r="I27" s="153"/>
      <c r="J27" s="101"/>
      <c r="K27" s="101"/>
      <c r="L27" s="101" t="str">
        <f>TEXT(B27,"0.0")</f>
        <v>B.7</v>
      </c>
      <c r="M27" s="100">
        <f ca="1">SUMIF(Y:Y,L27,G:G)/(SUMIF(Y:Y,L27,X:X))</f>
        <v>0</v>
      </c>
      <c r="N27" s="100" t="str">
        <f ca="1">HLOOKUP(M27*100,level_ref,2,TRUE)</f>
        <v>Level 1</v>
      </c>
      <c r="O27" s="100" t="str">
        <f ca="1">IF(ISERROR(N27),"",N27)</f>
        <v>Level 1</v>
      </c>
      <c r="P27" s="100">
        <f ca="1">HLOOKUP(M27*100,level_ref,3,TRUE)</f>
        <v>1</v>
      </c>
      <c r="Q27" s="100">
        <f ca="1">IF(ISERROR(P27),"",P27)</f>
        <v>1</v>
      </c>
      <c r="R27" s="100">
        <f ca="1">M27*5</f>
        <v>0</v>
      </c>
      <c r="S27" s="100"/>
      <c r="T27" s="100"/>
      <c r="U27" s="100" t="str">
        <f ca="1">IF(AND(C27&gt;4,VLOOKUP(A27,Assess_B_Reference,34,FALSE)&lt;&gt;8),LEFT(B27,3),"")</f>
        <v/>
      </c>
      <c r="V27" s="100">
        <f ca="1">VLOOKUP(A27,Weightings_Assessments,24,FALSE)</f>
        <v>0</v>
      </c>
      <c r="W27" s="100">
        <f ca="1">IF(VLOOKUP(A27,Assess_B_Reference,34,FALSE)=8,0,1)</f>
        <v>1</v>
      </c>
      <c r="X27" s="100">
        <f ca="1">W27*V27*4</f>
        <v>0</v>
      </c>
      <c r="Y27" s="75" t="str">
        <f ca="1">AG27&amp;U27</f>
        <v/>
      </c>
      <c r="Z27" s="74"/>
      <c r="AA27" s="74"/>
      <c r="AB27" s="74"/>
      <c r="AC27" s="74"/>
      <c r="AD27" s="81"/>
      <c r="AE27" s="81"/>
      <c r="AF27" s="81"/>
      <c r="AG27" s="77"/>
      <c r="AH27" s="81"/>
      <c r="AI27" s="77"/>
      <c r="AJ27" s="74"/>
      <c r="AK27" s="74"/>
      <c r="AL27" s="74"/>
      <c r="AM27" s="74"/>
      <c r="AN27" s="74"/>
      <c r="AO27" s="74"/>
      <c r="AP27" s="74"/>
      <c r="AQ27" s="74"/>
      <c r="AR27" s="74"/>
      <c r="AS27" s="74"/>
      <c r="AT27" s="74"/>
      <c r="AU27" s="74"/>
      <c r="AV27" s="74"/>
    </row>
    <row r="28" spans="1:48" s="75" customFormat="1" ht="60" x14ac:dyDescent="0.25">
      <c r="A28" s="67">
        <v>44</v>
      </c>
      <c r="B28" s="68" t="str">
        <f t="shared" si="0"/>
        <v>B.7.01</v>
      </c>
      <c r="C28" s="69">
        <f t="shared" si="1"/>
        <v>5</v>
      </c>
      <c r="D28" s="20"/>
      <c r="E28" s="86" t="str">
        <f t="shared" si="2"/>
        <v>B.7.01</v>
      </c>
      <c r="F28" s="71" t="str">
        <f t="shared" si="3"/>
        <v>Are detailed test plans produced to provide guidelines for the penetration testing to be undertaken, supported by research to imitate the research activities that a potential attacker could undertake to find out as much about the target environment and how it works as possible?</v>
      </c>
      <c r="G28" s="177" t="str">
        <f ca="1">VLOOKUP($A28,Assess_B_Reference,15,FALSE)</f>
        <v/>
      </c>
      <c r="H28" s="177">
        <f ca="1">(VLOOKUP(LEFT($B28,3),targets_lookup,5,FALSE))*VLOOKUP($A28,Weightings_Assessments,23,FALSE)</f>
        <v>2</v>
      </c>
      <c r="I28" s="71" t="str">
        <f ca="1">IF(VLOOKUP(A28,Assess_B_Reference,16,FALSE)=0,"",VLOOKUP(A28,Assess_B_Reference,16,FALSE))</f>
        <v/>
      </c>
      <c r="J28" s="69"/>
      <c r="K28" s="69"/>
      <c r="L28" s="69"/>
      <c r="M28" s="69"/>
      <c r="N28" s="69"/>
      <c r="O28" s="69"/>
      <c r="P28" s="69"/>
      <c r="Q28" s="69"/>
      <c r="R28" s="69"/>
      <c r="S28" s="69"/>
      <c r="T28" s="76"/>
      <c r="U28" s="100" t="str">
        <f ca="1">IF(AND(C28&gt;4,VLOOKUP(A28,Assess_B_Reference,34,FALSE)&lt;&gt;8),LEFT(B28,3),"")</f>
        <v>B.7</v>
      </c>
      <c r="V28" s="100">
        <f ca="1">VLOOKUP(A28,Weightings_Assessments,24,FALSE)</f>
        <v>1</v>
      </c>
      <c r="W28" s="100">
        <f ca="1">IF(VLOOKUP(A28,Assess_B_Reference,34,FALSE)=8,0,1)</f>
        <v>1</v>
      </c>
      <c r="X28" s="100">
        <f ca="1">W28*V28*4</f>
        <v>4</v>
      </c>
      <c r="Y28" s="75" t="str">
        <f ca="1">AG28&amp;U28</f>
        <v>B.7</v>
      </c>
      <c r="Z28" s="74"/>
      <c r="AA28" s="74"/>
      <c r="AB28" s="74"/>
      <c r="AC28" s="74"/>
      <c r="AD28" s="81"/>
      <c r="AE28" s="81"/>
      <c r="AF28" s="81"/>
      <c r="AG28" s="77"/>
      <c r="AH28" s="81"/>
      <c r="AI28" s="77"/>
      <c r="AJ28" s="74"/>
      <c r="AK28" s="74"/>
      <c r="AL28" s="74"/>
      <c r="AM28" s="74"/>
      <c r="AN28" s="74"/>
      <c r="AO28" s="74"/>
      <c r="AP28" s="74"/>
      <c r="AQ28" s="74"/>
      <c r="AR28" s="74"/>
      <c r="AS28" s="74"/>
      <c r="AT28" s="74"/>
      <c r="AU28" s="74"/>
      <c r="AV28" s="74"/>
    </row>
    <row r="29" spans="1:48" s="75" customFormat="1" ht="75" x14ac:dyDescent="0.25">
      <c r="A29" s="67">
        <v>45</v>
      </c>
      <c r="B29" s="68" t="str">
        <f t="shared" si="0"/>
        <v/>
      </c>
      <c r="C29" s="69">
        <f t="shared" si="1"/>
        <v>3</v>
      </c>
      <c r="D29" s="20"/>
      <c r="E29" s="86" t="str">
        <f t="shared" si="2"/>
        <v/>
      </c>
      <c r="F29" s="147" t="str">
        <f t="shared" si="3"/>
        <v>Detailed test plans should be produced by your testing service provider; agreed with your organisation prior to any testing commencing; specify what will actually be done during the test itself; and help to assure the process for a proper security test without creating misunderstandings, misconceptions, or false expectations.</v>
      </c>
      <c r="G29" s="177"/>
      <c r="H29" s="177"/>
      <c r="I29" s="71"/>
      <c r="J29" s="69"/>
      <c r="K29" s="69"/>
      <c r="L29" s="69"/>
      <c r="M29" s="69"/>
      <c r="N29" s="69"/>
      <c r="O29" s="69"/>
      <c r="P29" s="69"/>
      <c r="Q29" s="69"/>
      <c r="R29" s="69"/>
      <c r="S29" s="69"/>
      <c r="T29" s="76"/>
      <c r="U29" s="76"/>
      <c r="V29" s="76"/>
      <c r="W29" s="76"/>
      <c r="X29" s="76"/>
      <c r="Z29" s="74"/>
      <c r="AA29" s="74"/>
      <c r="AB29" s="74"/>
      <c r="AC29" s="74"/>
      <c r="AD29" s="81"/>
      <c r="AE29" s="81"/>
      <c r="AF29" s="81"/>
      <c r="AG29" s="77"/>
      <c r="AH29" s="81"/>
      <c r="AI29" s="77"/>
      <c r="AJ29" s="74"/>
      <c r="AK29" s="74"/>
      <c r="AL29" s="74"/>
      <c r="AM29" s="74"/>
      <c r="AN29" s="74"/>
      <c r="AO29" s="74"/>
      <c r="AP29" s="74"/>
      <c r="AQ29" s="74"/>
      <c r="AR29" s="74"/>
      <c r="AS29" s="74"/>
      <c r="AT29" s="74"/>
      <c r="AU29" s="74"/>
      <c r="AV29" s="74"/>
    </row>
    <row r="30" spans="1:48" s="75" customFormat="1" ht="30" customHeight="1" x14ac:dyDescent="0.25">
      <c r="A30" s="67">
        <v>46</v>
      </c>
      <c r="B30" s="68" t="str">
        <f t="shared" si="0"/>
        <v>B.8</v>
      </c>
      <c r="C30" s="69">
        <f t="shared" si="1"/>
        <v>2</v>
      </c>
      <c r="D30" s="20"/>
      <c r="E30" s="105" t="str">
        <f t="shared" si="2"/>
        <v>Step 8</v>
      </c>
      <c r="F30" s="102" t="str">
        <f t="shared" si="3"/>
        <v>Identify and exploit vulnerabilities</v>
      </c>
      <c r="G30" s="175" t="str">
        <f ca="1">"Maturity level:  "&amp;O30</f>
        <v>Maturity level:  Level 1</v>
      </c>
      <c r="H30" s="176"/>
      <c r="I30" s="153"/>
      <c r="J30" s="101"/>
      <c r="K30" s="101"/>
      <c r="L30" s="101" t="str">
        <f>TEXT(B30,"0.0")</f>
        <v>B.8</v>
      </c>
      <c r="M30" s="100">
        <f ca="1">SUMIF(Y:Y,L30,G:G)/(SUMIF(Y:Y,L30,X:X))</f>
        <v>0</v>
      </c>
      <c r="N30" s="100" t="str">
        <f ca="1">HLOOKUP(M30*100,level_ref,2,TRUE)</f>
        <v>Level 1</v>
      </c>
      <c r="O30" s="100" t="str">
        <f ca="1">IF(ISERROR(N30),"",N30)</f>
        <v>Level 1</v>
      </c>
      <c r="P30" s="100">
        <f ca="1">HLOOKUP(M30*100,level_ref,3,TRUE)</f>
        <v>1</v>
      </c>
      <c r="Q30" s="100">
        <f ca="1">IF(ISERROR(P30),"",P30)</f>
        <v>1</v>
      </c>
      <c r="R30" s="100">
        <f ca="1">M30*5</f>
        <v>0</v>
      </c>
      <c r="S30" s="100"/>
      <c r="T30" s="100"/>
      <c r="U30" s="100" t="str">
        <f ca="1">IF(AND(C30&gt;4,VLOOKUP(A30,Assess_B_Reference,34,FALSE)&lt;&gt;8),LEFT(B30,3),"")</f>
        <v/>
      </c>
      <c r="V30" s="100">
        <f ca="1">VLOOKUP(A30,Weightings_Assessments,24,FALSE)</f>
        <v>0</v>
      </c>
      <c r="W30" s="100">
        <f ca="1">IF(VLOOKUP(A30,Assess_B_Reference,34,FALSE)=8,0,1)</f>
        <v>1</v>
      </c>
      <c r="X30" s="100">
        <f ca="1">W30*V30*4</f>
        <v>0</v>
      </c>
      <c r="Y30" s="75" t="str">
        <f ca="1">AG30&amp;U30</f>
        <v/>
      </c>
      <c r="Z30" s="74"/>
      <c r="AA30" s="74"/>
      <c r="AB30" s="74"/>
      <c r="AC30" s="74"/>
      <c r="AD30" s="81"/>
      <c r="AE30" s="81"/>
      <c r="AF30" s="81"/>
      <c r="AG30" s="77"/>
      <c r="AH30" s="81"/>
      <c r="AI30" s="77"/>
      <c r="AJ30" s="74"/>
      <c r="AK30" s="74"/>
      <c r="AL30" s="74"/>
      <c r="AM30" s="74"/>
      <c r="AN30" s="74"/>
      <c r="AO30" s="74"/>
      <c r="AP30" s="74"/>
      <c r="AQ30" s="74"/>
      <c r="AR30" s="74"/>
      <c r="AS30" s="74"/>
      <c r="AT30" s="74"/>
      <c r="AU30" s="74"/>
      <c r="AV30" s="74"/>
    </row>
    <row r="31" spans="1:48" s="75" customFormat="1" ht="45" x14ac:dyDescent="0.25">
      <c r="A31" s="67">
        <v>47</v>
      </c>
      <c r="B31" s="68" t="str">
        <f t="shared" si="0"/>
        <v>B.8.01</v>
      </c>
      <c r="C31" s="69">
        <f t="shared" si="1"/>
        <v>5</v>
      </c>
      <c r="D31" s="20"/>
      <c r="E31" s="86" t="str">
        <f t="shared" si="2"/>
        <v>B.8.01</v>
      </c>
      <c r="F31" s="71" t="str">
        <f t="shared" si="3"/>
        <v>Does penetration testing include testers identifying a range of potential vulnerabilities in target systems, then trying to exploit the vulnerabilities identified and actually penetrate the target system?</v>
      </c>
      <c r="G31" s="177" t="str">
        <f ca="1">VLOOKUP($A31,Assess_B_Reference,15,FALSE)</f>
        <v/>
      </c>
      <c r="H31" s="177">
        <f ca="1">(VLOOKUP(LEFT($B31,3),targets_lookup,5,FALSE))*VLOOKUP($A31,Weightings_Assessments,23,FALSE)</f>
        <v>2</v>
      </c>
      <c r="I31" s="71" t="str">
        <f ca="1">IF(VLOOKUP(A31,Assess_B_Reference,16,FALSE)=0,"",VLOOKUP(A31,Assess_B_Reference,16,FALSE))</f>
        <v/>
      </c>
      <c r="J31" s="69"/>
      <c r="K31" s="69"/>
      <c r="L31" s="69"/>
      <c r="M31" s="69"/>
      <c r="N31" s="69"/>
      <c r="O31" s="69"/>
      <c r="P31" s="69"/>
      <c r="Q31" s="69"/>
      <c r="R31" s="69"/>
      <c r="S31" s="69"/>
      <c r="T31" s="76"/>
      <c r="U31" s="100" t="str">
        <f ca="1">IF(AND(C31&gt;4,VLOOKUP(A31,Assess_B_Reference,34,FALSE)&lt;&gt;8),LEFT(B31,3),"")</f>
        <v>B.8</v>
      </c>
      <c r="V31" s="100">
        <f ca="1">VLOOKUP(A31,Weightings_Assessments,24,FALSE)</f>
        <v>1</v>
      </c>
      <c r="W31" s="100">
        <f ca="1">IF(VLOOKUP(A31,Assess_B_Reference,34,FALSE)=8,0,1)</f>
        <v>1</v>
      </c>
      <c r="X31" s="100">
        <f ca="1">W31*V31*4</f>
        <v>4</v>
      </c>
      <c r="Y31" s="75" t="str">
        <f ca="1">AG31&amp;U31</f>
        <v>B.8</v>
      </c>
      <c r="Z31" s="74"/>
      <c r="AA31" s="74"/>
      <c r="AB31" s="74"/>
      <c r="AC31" s="74"/>
      <c r="AD31" s="81"/>
      <c r="AE31" s="81"/>
      <c r="AF31" s="81"/>
      <c r="AG31" s="77"/>
      <c r="AH31" s="81"/>
      <c r="AI31" s="77"/>
      <c r="AJ31" s="74"/>
      <c r="AK31" s="74"/>
      <c r="AL31" s="74"/>
      <c r="AM31" s="74"/>
      <c r="AN31" s="74"/>
      <c r="AO31" s="74"/>
      <c r="AP31" s="74"/>
      <c r="AQ31" s="74"/>
      <c r="AR31" s="74"/>
      <c r="AS31" s="74"/>
      <c r="AT31" s="74"/>
      <c r="AU31" s="74"/>
      <c r="AV31" s="74"/>
    </row>
    <row r="32" spans="1:48" s="75" customFormat="1" ht="105" x14ac:dyDescent="0.25">
      <c r="A32" s="67">
        <v>48</v>
      </c>
      <c r="B32" s="68" t="str">
        <f t="shared" si="0"/>
        <v/>
      </c>
      <c r="C32" s="69">
        <f t="shared" si="1"/>
        <v>3</v>
      </c>
      <c r="D32" s="20"/>
      <c r="E32" s="86" t="str">
        <f t="shared" si="2"/>
        <v/>
      </c>
      <c r="F32" s="147" t="str">
        <f t="shared" si="3"/>
        <v>Vulnerability identification and exploitation typically include testers examining: Attack avenues, vectors and threat agents; results from threat analysis; technical system / network / application vulnerabilities; and control weaknesses - supported by a range of techniques (e.g. exploit techniques; escalation techniques; advancement techniques; and analysis techniques) to try and take advantage of specific weaknesses.</v>
      </c>
      <c r="G32" s="177"/>
      <c r="H32" s="177"/>
      <c r="I32" s="71"/>
      <c r="J32" s="69"/>
      <c r="K32" s="69"/>
      <c r="L32" s="69"/>
      <c r="M32" s="69"/>
      <c r="N32" s="69"/>
      <c r="O32" s="69"/>
      <c r="P32" s="69"/>
      <c r="Q32" s="69"/>
      <c r="R32" s="69"/>
      <c r="S32" s="69"/>
      <c r="T32" s="76"/>
      <c r="U32" s="76"/>
      <c r="V32" s="76"/>
      <c r="W32" s="76"/>
      <c r="X32" s="76"/>
      <c r="Z32" s="74"/>
      <c r="AA32" s="74"/>
      <c r="AB32" s="74"/>
      <c r="AC32" s="74"/>
      <c r="AD32" s="81"/>
      <c r="AE32" s="81"/>
      <c r="AF32" s="81"/>
      <c r="AG32" s="77"/>
      <c r="AH32" s="81"/>
      <c r="AI32" s="77"/>
      <c r="AJ32" s="74"/>
      <c r="AK32" s="74"/>
      <c r="AL32" s="74"/>
      <c r="AM32" s="74"/>
      <c r="AN32" s="74"/>
      <c r="AO32" s="74"/>
      <c r="AP32" s="74"/>
      <c r="AQ32" s="74"/>
      <c r="AR32" s="74"/>
      <c r="AS32" s="74"/>
      <c r="AT32" s="74"/>
      <c r="AU32" s="74"/>
      <c r="AV32" s="74"/>
    </row>
    <row r="33" spans="1:48" s="75" customFormat="1" ht="30" customHeight="1" x14ac:dyDescent="0.25">
      <c r="A33" s="67">
        <v>49</v>
      </c>
      <c r="B33" s="68" t="str">
        <f t="shared" si="0"/>
        <v>B.9</v>
      </c>
      <c r="C33" s="69">
        <f t="shared" si="1"/>
        <v>2</v>
      </c>
      <c r="D33" s="20"/>
      <c r="E33" s="105" t="str">
        <f t="shared" si="2"/>
        <v>Step 9</v>
      </c>
      <c r="F33" s="102" t="str">
        <f t="shared" si="3"/>
        <v>Report key findings</v>
      </c>
      <c r="G33" s="175" t="str">
        <f ca="1">"Maturity level:  "&amp;O33</f>
        <v>Maturity level:  Level 1</v>
      </c>
      <c r="H33" s="176"/>
      <c r="I33" s="153"/>
      <c r="J33" s="101"/>
      <c r="K33" s="101"/>
      <c r="L33" s="101" t="str">
        <f>TEXT(B33,"0.0")</f>
        <v>B.9</v>
      </c>
      <c r="M33" s="100">
        <f ca="1">SUMIF(Y:Y,L33,G:G)/(SUMIF(Y:Y,L33,X:X))</f>
        <v>0</v>
      </c>
      <c r="N33" s="100" t="str">
        <f ca="1">HLOOKUP(M33*100,level_ref,2,TRUE)</f>
        <v>Level 1</v>
      </c>
      <c r="O33" s="100" t="str">
        <f ca="1">IF(ISERROR(N33),"",N33)</f>
        <v>Level 1</v>
      </c>
      <c r="P33" s="100">
        <f ca="1">HLOOKUP(M33*100,level_ref,3,TRUE)</f>
        <v>1</v>
      </c>
      <c r="Q33" s="100">
        <f ca="1">IF(ISERROR(P33),"",P33)</f>
        <v>1</v>
      </c>
      <c r="R33" s="100">
        <f ca="1">M33*5</f>
        <v>0</v>
      </c>
      <c r="S33" s="100"/>
      <c r="T33" s="100"/>
      <c r="U33" s="100" t="str">
        <f ca="1">IF(AND(C33&gt;4,VLOOKUP(A33,Assess_B_Reference,34,FALSE)&lt;&gt;8),LEFT(B33,3),"")</f>
        <v/>
      </c>
      <c r="V33" s="100">
        <f ca="1">VLOOKUP(A33,Weightings_Assessments,24,FALSE)</f>
        <v>0</v>
      </c>
      <c r="W33" s="100">
        <f ca="1">IF(VLOOKUP(A33,Assess_B_Reference,34,FALSE)=8,0,1)</f>
        <v>1</v>
      </c>
      <c r="X33" s="100">
        <f ca="1">W33*V33*4</f>
        <v>0</v>
      </c>
      <c r="Y33" s="75" t="str">
        <f ca="1">AG33&amp;U33</f>
        <v/>
      </c>
      <c r="Z33" s="74"/>
      <c r="AA33" s="74"/>
      <c r="AB33" s="74"/>
      <c r="AC33" s="74"/>
      <c r="AD33" s="81"/>
      <c r="AE33" s="81"/>
      <c r="AF33" s="81"/>
      <c r="AG33" s="77"/>
      <c r="AH33" s="81"/>
      <c r="AI33" s="77"/>
      <c r="AJ33" s="74"/>
      <c r="AK33" s="74"/>
      <c r="AL33" s="74"/>
      <c r="AM33" s="74"/>
      <c r="AN33" s="74"/>
      <c r="AO33" s="74"/>
      <c r="AP33" s="74"/>
      <c r="AQ33" s="74"/>
      <c r="AR33" s="74"/>
      <c r="AS33" s="74"/>
      <c r="AT33" s="74"/>
      <c r="AU33" s="74"/>
      <c r="AV33" s="74"/>
    </row>
    <row r="34" spans="1:48" s="75" customFormat="1" ht="30" x14ac:dyDescent="0.25">
      <c r="A34" s="67">
        <v>50</v>
      </c>
      <c r="B34" s="68" t="str">
        <f t="shared" si="0"/>
        <v>B.9.01</v>
      </c>
      <c r="C34" s="69">
        <f t="shared" si="1"/>
        <v>5</v>
      </c>
      <c r="D34" s="20"/>
      <c r="E34" s="86" t="str">
        <f t="shared" si="2"/>
        <v>B.9.01</v>
      </c>
      <c r="F34" s="71" t="str">
        <f t="shared" si="3"/>
        <v>Are findings identified during the penetration test reported to your organisation?</v>
      </c>
      <c r="G34" s="177" t="str">
        <f ca="1">VLOOKUP($A34,Assess_B_Reference,15,FALSE)</f>
        <v/>
      </c>
      <c r="H34" s="177">
        <f ca="1">(VLOOKUP(LEFT($B34,3),targets_lookup,5,FALSE))*VLOOKUP($A34,Weightings_Assessments,23,FALSE)</f>
        <v>2</v>
      </c>
      <c r="I34" s="71" t="str">
        <f ca="1">IF(VLOOKUP(A34,Assess_B_Reference,16,FALSE)=0,"",VLOOKUP(A34,Assess_B_Reference,16,FALSE))</f>
        <v/>
      </c>
      <c r="J34" s="69"/>
      <c r="K34" s="69"/>
      <c r="L34" s="69"/>
      <c r="M34" s="69"/>
      <c r="N34" s="69"/>
      <c r="O34" s="69"/>
      <c r="P34" s="69"/>
      <c r="Q34" s="69"/>
      <c r="R34" s="69"/>
      <c r="S34" s="69"/>
      <c r="T34" s="76"/>
      <c r="U34" s="100" t="str">
        <f ca="1">IF(AND(C34&gt;4,VLOOKUP(A34,Assess_B_Reference,34,FALSE)&lt;&gt;8),LEFT(B34,3),"")</f>
        <v>B.9</v>
      </c>
      <c r="V34" s="100">
        <f ca="1">VLOOKUP(A34,Weightings_Assessments,24,FALSE)</f>
        <v>1</v>
      </c>
      <c r="W34" s="100">
        <f ca="1">IF(VLOOKUP(A34,Assess_B_Reference,34,FALSE)=8,0,1)</f>
        <v>1</v>
      </c>
      <c r="X34" s="100">
        <f ca="1">W34*V34*4</f>
        <v>4</v>
      </c>
      <c r="Y34" s="75" t="str">
        <f ca="1">AG34&amp;U34</f>
        <v>B.9</v>
      </c>
      <c r="Z34" s="74"/>
      <c r="AA34" s="74"/>
      <c r="AB34" s="74"/>
      <c r="AC34" s="74"/>
      <c r="AD34" s="81"/>
      <c r="AE34" s="81"/>
      <c r="AF34" s="81"/>
      <c r="AG34" s="77"/>
      <c r="AH34" s="81"/>
      <c r="AI34" s="77"/>
      <c r="AJ34" s="74"/>
      <c r="AK34" s="74"/>
      <c r="AL34" s="74"/>
      <c r="AM34" s="74"/>
      <c r="AN34" s="74"/>
      <c r="AO34" s="74"/>
      <c r="AP34" s="74"/>
      <c r="AQ34" s="74"/>
      <c r="AR34" s="74"/>
      <c r="AS34" s="74"/>
      <c r="AT34" s="74"/>
      <c r="AU34" s="74"/>
      <c r="AV34" s="74"/>
    </row>
    <row r="35" spans="1:48" s="75" customFormat="1" ht="75" x14ac:dyDescent="0.25">
      <c r="A35" s="67">
        <v>51</v>
      </c>
      <c r="B35" s="68" t="str">
        <f t="shared" si="0"/>
        <v/>
      </c>
      <c r="C35" s="69">
        <f t="shared" si="1"/>
        <v>3</v>
      </c>
      <c r="D35" s="20"/>
      <c r="E35" s="86" t="str">
        <f t="shared" si="2"/>
        <v/>
      </c>
      <c r="F35" s="147" t="str">
        <f t="shared" si="3"/>
        <v>Findings should be formally presented to your organisation by suppliers, who should provide details about: how testers found the vulnerabilities; what could be the outcome of each vulnerability; the level of risk to the business for each vulnerability; and advice on how to remediate each vulnerability.</v>
      </c>
      <c r="G35" s="177"/>
      <c r="H35" s="177"/>
      <c r="I35" s="71"/>
      <c r="J35" s="69"/>
      <c r="K35" s="69"/>
      <c r="L35" s="69"/>
      <c r="M35" s="69"/>
      <c r="N35" s="69"/>
      <c r="O35" s="69"/>
      <c r="P35" s="69"/>
      <c r="Q35" s="69"/>
      <c r="R35" s="69"/>
      <c r="S35" s="69"/>
      <c r="T35" s="76"/>
      <c r="U35" s="76"/>
      <c r="V35" s="76"/>
      <c r="W35" s="76"/>
      <c r="X35" s="76"/>
      <c r="Z35" s="74"/>
      <c r="AA35" s="74"/>
      <c r="AB35" s="74"/>
      <c r="AC35" s="74"/>
      <c r="AD35" s="81"/>
      <c r="AE35" s="81"/>
      <c r="AF35" s="81"/>
      <c r="AG35" s="77"/>
      <c r="AH35" s="81"/>
      <c r="AI35" s="77"/>
      <c r="AJ35" s="74"/>
      <c r="AK35" s="74"/>
      <c r="AL35" s="74"/>
      <c r="AM35" s="74"/>
      <c r="AN35" s="74"/>
      <c r="AO35" s="74"/>
      <c r="AP35" s="74"/>
      <c r="AQ35" s="74"/>
      <c r="AR35" s="74"/>
      <c r="AS35" s="74"/>
      <c r="AT35" s="74"/>
      <c r="AU35" s="74"/>
      <c r="AV35" s="74"/>
    </row>
    <row r="36" spans="1:48" x14ac:dyDescent="0.2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row>
    <row r="37" spans="1:48" x14ac:dyDescent="0.2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row>
    <row r="38" spans="1:48" x14ac:dyDescent="0.2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row>
    <row r="39" spans="1:48" x14ac:dyDescent="0.2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row>
  </sheetData>
  <sheetProtection algorithmName="SHA-512" hashValue="/srQqRroySjRWZ/fXXNMuRvrxL7T+8HPtkENBc1sV2siB4b6uV9peXScmGQnFr3aj0xrzp3hJrXHgPToYuwF8w==" saltValue="GWgeEI09u+bXdLyx3LEVjw==" spinCount="100000" sheet="1" objects="1" scenarios="1"/>
  <mergeCells count="2">
    <mergeCell ref="F2:I3"/>
    <mergeCell ref="F4:I5"/>
  </mergeCells>
  <conditionalFormatting sqref="G8">
    <cfRule type="dataBar" priority="10">
      <dataBar>
        <cfvo type="num" val="0"/>
        <cfvo type="num" val="4"/>
        <color rgb="FF638EC6"/>
      </dataBar>
      <extLst>
        <ext xmlns:x14="http://schemas.microsoft.com/office/spreadsheetml/2009/9/main" uri="{B025F937-C7B1-47D3-B67F-A62EFF666E3E}">
          <x14:id>{0AF4D61E-9B03-4CA9-B86D-499ED5D57D0B}</x14:id>
        </ext>
      </extLst>
    </cfRule>
  </conditionalFormatting>
  <conditionalFormatting sqref="H8">
    <cfRule type="dataBar" priority="9">
      <dataBar>
        <cfvo type="num" val="0"/>
        <cfvo type="num" val="4"/>
        <color rgb="FF00B050"/>
      </dataBar>
      <extLst>
        <ext xmlns:x14="http://schemas.microsoft.com/office/spreadsheetml/2009/9/main" uri="{B025F937-C7B1-47D3-B67F-A62EFF666E3E}">
          <x14:id>{8FFF4DDE-D6F5-4F98-AE3F-953E9849BC32}</x14:id>
        </ext>
      </extLst>
    </cfRule>
  </conditionalFormatting>
  <conditionalFormatting sqref="G9">
    <cfRule type="dataBar" priority="8">
      <dataBar>
        <cfvo type="num" val="0"/>
        <cfvo type="num" val="4"/>
        <color rgb="FF638EC6"/>
      </dataBar>
      <extLst>
        <ext xmlns:x14="http://schemas.microsoft.com/office/spreadsheetml/2009/9/main" uri="{B025F937-C7B1-47D3-B67F-A62EFF666E3E}">
          <x14:id>{D2ABB558-F91F-4BC6-A4C7-D1B708B030F5}</x14:id>
        </ext>
      </extLst>
    </cfRule>
  </conditionalFormatting>
  <conditionalFormatting sqref="H9">
    <cfRule type="dataBar" priority="7">
      <dataBar>
        <cfvo type="num" val="0"/>
        <cfvo type="num" val="4"/>
        <color rgb="FF00B050"/>
      </dataBar>
      <extLst>
        <ext xmlns:x14="http://schemas.microsoft.com/office/spreadsheetml/2009/9/main" uri="{B025F937-C7B1-47D3-B67F-A62EFF666E3E}">
          <x14:id>{0BBE0B27-4645-4841-A9AD-B3EEA31A8150}</x14:id>
        </ext>
      </extLst>
    </cfRule>
  </conditionalFormatting>
  <conditionalFormatting sqref="G32">
    <cfRule type="dataBar" priority="6">
      <dataBar>
        <cfvo type="num" val="0"/>
        <cfvo type="num" val="4"/>
        <color rgb="FF638EC6"/>
      </dataBar>
      <extLst>
        <ext xmlns:x14="http://schemas.microsoft.com/office/spreadsheetml/2009/9/main" uri="{B025F937-C7B1-47D3-B67F-A62EFF666E3E}">
          <x14:id>{BC4A4D56-3A81-407D-8D46-C85EEDDE205D}</x14:id>
        </ext>
      </extLst>
    </cfRule>
  </conditionalFormatting>
  <conditionalFormatting sqref="H32">
    <cfRule type="dataBar" priority="5">
      <dataBar>
        <cfvo type="num" val="0"/>
        <cfvo type="num" val="4"/>
        <color rgb="FF00B050"/>
      </dataBar>
      <extLst>
        <ext xmlns:x14="http://schemas.microsoft.com/office/spreadsheetml/2009/9/main" uri="{B025F937-C7B1-47D3-B67F-A62EFF666E3E}">
          <x14:id>{BA1DE122-3B0D-4212-A292-7BC2C3ABBDA8}</x14:id>
        </ext>
      </extLst>
    </cfRule>
  </conditionalFormatting>
  <conditionalFormatting sqref="G10:G31">
    <cfRule type="dataBar" priority="4">
      <dataBar>
        <cfvo type="num" val="0"/>
        <cfvo type="num" val="4"/>
        <color rgb="FF638EC6"/>
      </dataBar>
      <extLst>
        <ext xmlns:x14="http://schemas.microsoft.com/office/spreadsheetml/2009/9/main" uri="{B025F937-C7B1-47D3-B67F-A62EFF666E3E}">
          <x14:id>{2BC81411-264B-4FD8-960F-8D662FFD2A40}</x14:id>
        </ext>
      </extLst>
    </cfRule>
  </conditionalFormatting>
  <conditionalFormatting sqref="H10:H31">
    <cfRule type="dataBar" priority="3">
      <dataBar>
        <cfvo type="num" val="0"/>
        <cfvo type="num" val="4"/>
        <color rgb="FF00B050"/>
      </dataBar>
      <extLst>
        <ext xmlns:x14="http://schemas.microsoft.com/office/spreadsheetml/2009/9/main" uri="{B025F937-C7B1-47D3-B67F-A62EFF666E3E}">
          <x14:id>{B5FA4BBA-A456-40A4-9F3E-D076AF88237B}</x14:id>
        </ext>
      </extLst>
    </cfRule>
  </conditionalFormatting>
  <conditionalFormatting sqref="G33:G35">
    <cfRule type="dataBar" priority="2">
      <dataBar>
        <cfvo type="num" val="0"/>
        <cfvo type="num" val="4"/>
        <color rgb="FF638EC6"/>
      </dataBar>
      <extLst>
        <ext xmlns:x14="http://schemas.microsoft.com/office/spreadsheetml/2009/9/main" uri="{B025F937-C7B1-47D3-B67F-A62EFF666E3E}">
          <x14:id>{D263D67E-A0EA-4472-979A-1E0B70FAA359}</x14:id>
        </ext>
      </extLst>
    </cfRule>
  </conditionalFormatting>
  <conditionalFormatting sqref="H33:H35">
    <cfRule type="dataBar" priority="1">
      <dataBar>
        <cfvo type="num" val="0"/>
        <cfvo type="num" val="20"/>
        <color rgb="FF00B050"/>
      </dataBar>
      <extLst>
        <ext xmlns:x14="http://schemas.microsoft.com/office/spreadsheetml/2009/9/main" uri="{B025F937-C7B1-47D3-B67F-A62EFF666E3E}">
          <x14:id>{2616009E-441A-4FF2-B58E-040424349BA4}</x14:id>
        </ext>
      </extLst>
    </cfRule>
  </conditionalFormatting>
  <pageMargins left="0.7" right="0.7" top="0.75" bottom="0.75" header="0.3" footer="0.3"/>
  <pageSetup paperSize="9" scale="73" fitToHeight="0" orientation="landscape" horizontalDpi="4294967293" r:id="rId1"/>
  <drawing r:id="rId2"/>
  <extLst>
    <ext xmlns:x14="http://schemas.microsoft.com/office/spreadsheetml/2009/9/main" uri="{78C0D931-6437-407d-A8EE-F0AAD7539E65}">
      <x14:conditionalFormattings>
        <x14:conditionalFormatting xmlns:xm="http://schemas.microsoft.com/office/excel/2006/main">
          <x14:cfRule type="dataBar" id="{0AF4D61E-9B03-4CA9-B86D-499ED5D57D0B}">
            <x14:dataBar minLength="0" maxLength="100" gradient="0">
              <x14:cfvo type="num">
                <xm:f>0</xm:f>
              </x14:cfvo>
              <x14:cfvo type="num">
                <xm:f>4</xm:f>
              </x14:cfvo>
              <x14:negativeFillColor rgb="FFFF0000"/>
              <x14:axisColor rgb="FF000000"/>
            </x14:dataBar>
          </x14:cfRule>
          <xm:sqref>G8</xm:sqref>
        </x14:conditionalFormatting>
        <x14:conditionalFormatting xmlns:xm="http://schemas.microsoft.com/office/excel/2006/main">
          <x14:cfRule type="dataBar" id="{8FFF4DDE-D6F5-4F98-AE3F-953E9849BC32}">
            <x14:dataBar minLength="0" maxLength="100" gradient="0">
              <x14:cfvo type="num">
                <xm:f>0</xm:f>
              </x14:cfvo>
              <x14:cfvo type="num">
                <xm:f>4</xm:f>
              </x14:cfvo>
              <x14:negativeFillColor rgb="FFFF0000"/>
              <x14:axisColor rgb="FF000000"/>
            </x14:dataBar>
          </x14:cfRule>
          <xm:sqref>H8</xm:sqref>
        </x14:conditionalFormatting>
        <x14:conditionalFormatting xmlns:xm="http://schemas.microsoft.com/office/excel/2006/main">
          <x14:cfRule type="dataBar" id="{D2ABB558-F91F-4BC6-A4C7-D1B708B030F5}">
            <x14:dataBar minLength="0" maxLength="100" gradient="0">
              <x14:cfvo type="num">
                <xm:f>0</xm:f>
              </x14:cfvo>
              <x14:cfvo type="num">
                <xm:f>4</xm:f>
              </x14:cfvo>
              <x14:negativeFillColor rgb="FFFF0000"/>
              <x14:axisColor rgb="FF000000"/>
            </x14:dataBar>
          </x14:cfRule>
          <xm:sqref>G9</xm:sqref>
        </x14:conditionalFormatting>
        <x14:conditionalFormatting xmlns:xm="http://schemas.microsoft.com/office/excel/2006/main">
          <x14:cfRule type="dataBar" id="{0BBE0B27-4645-4841-A9AD-B3EEA31A8150}">
            <x14:dataBar minLength="0" maxLength="100" gradient="0">
              <x14:cfvo type="num">
                <xm:f>0</xm:f>
              </x14:cfvo>
              <x14:cfvo type="num">
                <xm:f>4</xm:f>
              </x14:cfvo>
              <x14:negativeFillColor rgb="FFFF0000"/>
              <x14:axisColor rgb="FF000000"/>
            </x14:dataBar>
          </x14:cfRule>
          <xm:sqref>H9</xm:sqref>
        </x14:conditionalFormatting>
        <x14:conditionalFormatting xmlns:xm="http://schemas.microsoft.com/office/excel/2006/main">
          <x14:cfRule type="dataBar" id="{BC4A4D56-3A81-407D-8D46-C85EEDDE205D}">
            <x14:dataBar minLength="0" maxLength="100" gradient="0">
              <x14:cfvo type="num">
                <xm:f>0</xm:f>
              </x14:cfvo>
              <x14:cfvo type="num">
                <xm:f>4</xm:f>
              </x14:cfvo>
              <x14:negativeFillColor rgb="FFFF0000"/>
              <x14:axisColor rgb="FF000000"/>
            </x14:dataBar>
          </x14:cfRule>
          <xm:sqref>G32</xm:sqref>
        </x14:conditionalFormatting>
        <x14:conditionalFormatting xmlns:xm="http://schemas.microsoft.com/office/excel/2006/main">
          <x14:cfRule type="dataBar" id="{BA1DE122-3B0D-4212-A292-7BC2C3ABBDA8}">
            <x14:dataBar minLength="0" maxLength="100" gradient="0">
              <x14:cfvo type="num">
                <xm:f>0</xm:f>
              </x14:cfvo>
              <x14:cfvo type="num">
                <xm:f>4</xm:f>
              </x14:cfvo>
              <x14:negativeFillColor rgb="FFFF0000"/>
              <x14:axisColor rgb="FF000000"/>
            </x14:dataBar>
          </x14:cfRule>
          <xm:sqref>H32</xm:sqref>
        </x14:conditionalFormatting>
        <x14:conditionalFormatting xmlns:xm="http://schemas.microsoft.com/office/excel/2006/main">
          <x14:cfRule type="dataBar" id="{2BC81411-264B-4FD8-960F-8D662FFD2A40}">
            <x14:dataBar minLength="0" maxLength="100" gradient="0">
              <x14:cfvo type="num">
                <xm:f>0</xm:f>
              </x14:cfvo>
              <x14:cfvo type="num">
                <xm:f>4</xm:f>
              </x14:cfvo>
              <x14:negativeFillColor rgb="FFFF0000"/>
              <x14:axisColor rgb="FF000000"/>
            </x14:dataBar>
          </x14:cfRule>
          <xm:sqref>G10:G31</xm:sqref>
        </x14:conditionalFormatting>
        <x14:conditionalFormatting xmlns:xm="http://schemas.microsoft.com/office/excel/2006/main">
          <x14:cfRule type="dataBar" id="{B5FA4BBA-A456-40A4-9F3E-D076AF88237B}">
            <x14:dataBar minLength="0" maxLength="100" gradient="0">
              <x14:cfvo type="num">
                <xm:f>0</xm:f>
              </x14:cfvo>
              <x14:cfvo type="num">
                <xm:f>4</xm:f>
              </x14:cfvo>
              <x14:negativeFillColor rgb="FFFF0000"/>
              <x14:axisColor rgb="FF000000"/>
            </x14:dataBar>
          </x14:cfRule>
          <xm:sqref>H10:H31</xm:sqref>
        </x14:conditionalFormatting>
        <x14:conditionalFormatting xmlns:xm="http://schemas.microsoft.com/office/excel/2006/main">
          <x14:cfRule type="dataBar" id="{D263D67E-A0EA-4472-979A-1E0B70FAA359}">
            <x14:dataBar minLength="0" maxLength="100" gradient="0">
              <x14:cfvo type="num">
                <xm:f>0</xm:f>
              </x14:cfvo>
              <x14:cfvo type="num">
                <xm:f>4</xm:f>
              </x14:cfvo>
              <x14:negativeFillColor rgb="FFFF0000"/>
              <x14:axisColor rgb="FF000000"/>
            </x14:dataBar>
          </x14:cfRule>
          <xm:sqref>G33:G35</xm:sqref>
        </x14:conditionalFormatting>
        <x14:conditionalFormatting xmlns:xm="http://schemas.microsoft.com/office/excel/2006/main">
          <x14:cfRule type="dataBar" id="{2616009E-441A-4FF2-B58E-040424349BA4}">
            <x14:dataBar minLength="0" maxLength="100" gradient="0">
              <x14:cfvo type="num">
                <xm:f>0</xm:f>
              </x14:cfvo>
              <x14:cfvo type="num">
                <xm:f>20</xm:f>
              </x14:cfvo>
              <x14:negativeFillColor rgb="FFFF0000"/>
              <x14:axisColor rgb="FF000000"/>
            </x14:dataBar>
          </x14:cfRule>
          <xm:sqref>H33:H35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rgb="FF00B050"/>
    <pageSetUpPr autoPageBreaks="0" fitToPage="1"/>
  </sheetPr>
  <dimension ref="A2:AQ28"/>
  <sheetViews>
    <sheetView showGridLines="0" showRowColHeaders="0" zoomScaleNormal="100" workbookViewId="0">
      <pane ySplit="7" topLeftCell="A8" activePane="bottomLeft" state="frozen"/>
      <selection activeCell="D1" sqref="D1"/>
      <selection pane="bottomLeft" activeCell="AB8" sqref="AB8"/>
    </sheetView>
  </sheetViews>
  <sheetFormatPr defaultColWidth="9.140625" defaultRowHeight="15" x14ac:dyDescent="0.25"/>
  <cols>
    <col min="1" max="1" width="9.28515625" style="152" hidden="1" customWidth="1"/>
    <col min="2" max="3" width="8.85546875" style="21" hidden="1" customWidth="1"/>
    <col min="4" max="4" width="6.28515625" style="21" customWidth="1"/>
    <col min="5" max="5" width="15.5703125" style="21" customWidth="1"/>
    <col min="6" max="6" width="67.42578125" style="21" customWidth="1"/>
    <col min="7" max="8" width="27" style="21" customWidth="1"/>
    <col min="9" max="9" width="41.7109375" style="83" customWidth="1"/>
    <col min="10" max="11" width="9.140625" style="21" customWidth="1"/>
    <col min="12" max="18" width="9.140625" style="21" hidden="1" customWidth="1"/>
    <col min="19" max="20" width="9.140625" style="21" customWidth="1"/>
    <col min="21" max="25" width="9.140625" style="21" hidden="1" customWidth="1"/>
    <col min="26" max="35" width="9.140625" style="21" customWidth="1"/>
    <col min="36" max="16384" width="9.140625" style="21"/>
  </cols>
  <sheetData>
    <row r="2" spans="1:43" s="53" customFormat="1" ht="15" customHeight="1" x14ac:dyDescent="0.25">
      <c r="A2" s="152"/>
      <c r="B2" s="21"/>
      <c r="C2" s="21"/>
      <c r="D2" s="21"/>
      <c r="E2" s="21"/>
      <c r="F2" s="314" t="str">
        <f>"Results"&amp;IF(LEN(profile_name_of_organisation)=0,""," for "&amp;profile_name_of_organisation)</f>
        <v>Results</v>
      </c>
      <c r="G2" s="314"/>
      <c r="H2" s="314"/>
      <c r="I2" s="314"/>
      <c r="J2" s="106"/>
      <c r="K2" s="106"/>
      <c r="L2" s="106"/>
      <c r="M2" s="106"/>
      <c r="N2" s="106"/>
      <c r="O2" s="106"/>
      <c r="P2" s="106"/>
      <c r="Q2" s="106"/>
      <c r="R2" s="106"/>
      <c r="S2" s="106"/>
      <c r="T2" s="106"/>
      <c r="U2" s="106"/>
      <c r="V2" s="106"/>
      <c r="W2" s="106"/>
      <c r="X2" s="106"/>
    </row>
    <row r="3" spans="1:43" s="53" customFormat="1" ht="15" customHeight="1" x14ac:dyDescent="0.25">
      <c r="A3" s="152"/>
      <c r="B3" s="21"/>
      <c r="C3" s="21"/>
      <c r="D3" s="21"/>
      <c r="E3" s="21"/>
      <c r="F3" s="314"/>
      <c r="G3" s="314"/>
      <c r="H3" s="314"/>
      <c r="I3" s="314"/>
      <c r="J3" s="106"/>
      <c r="K3" s="106"/>
      <c r="L3" s="106"/>
      <c r="M3" s="106"/>
      <c r="N3" s="106"/>
      <c r="O3" s="106"/>
      <c r="P3" s="106"/>
      <c r="Q3" s="106"/>
      <c r="R3" s="106"/>
      <c r="S3" s="106"/>
      <c r="T3" s="106"/>
      <c r="U3" s="106"/>
      <c r="V3" s="106"/>
      <c r="W3" s="106"/>
      <c r="X3" s="106"/>
    </row>
    <row r="4" spans="1:43" s="53" customFormat="1" ht="15" customHeight="1" x14ac:dyDescent="0.25">
      <c r="A4" s="152"/>
      <c r="B4" s="21"/>
      <c r="C4" s="21"/>
      <c r="D4" s="21"/>
      <c r="E4" s="21"/>
      <c r="F4" s="315" t="str">
        <f ca="1">'Assess A'!F2</f>
        <v>Maturity model for Stage A - Preparation</v>
      </c>
      <c r="G4" s="315"/>
      <c r="H4" s="315"/>
      <c r="I4" s="315"/>
      <c r="J4" s="106"/>
      <c r="K4" s="106"/>
      <c r="L4" s="106"/>
      <c r="M4" s="106"/>
      <c r="N4" s="106"/>
      <c r="O4" s="106"/>
      <c r="P4" s="106"/>
      <c r="Q4" s="106"/>
      <c r="R4" s="106"/>
      <c r="S4" s="106"/>
      <c r="T4" s="106"/>
      <c r="U4" s="106"/>
      <c r="V4" s="106"/>
      <c r="W4" s="106"/>
      <c r="X4" s="106"/>
    </row>
    <row r="5" spans="1:43" s="53" customFormat="1" ht="15" customHeight="1" x14ac:dyDescent="0.25">
      <c r="A5" s="152"/>
      <c r="B5" s="21"/>
      <c r="C5" s="21"/>
      <c r="D5" s="21"/>
      <c r="E5" s="21"/>
      <c r="F5" s="315"/>
      <c r="G5" s="315"/>
      <c r="H5" s="315"/>
      <c r="I5" s="315"/>
      <c r="J5" s="106"/>
      <c r="K5" s="106"/>
      <c r="L5" s="106"/>
      <c r="M5" s="106"/>
      <c r="N5" s="106"/>
      <c r="O5" s="106"/>
      <c r="P5" s="106"/>
      <c r="Q5" s="106"/>
      <c r="R5" s="106"/>
      <c r="S5" s="106"/>
      <c r="T5" s="106"/>
      <c r="U5" s="106"/>
      <c r="V5" s="106"/>
      <c r="W5" s="106"/>
      <c r="X5" s="106"/>
    </row>
    <row r="7" spans="1:43" ht="19.5" x14ac:dyDescent="0.3">
      <c r="A7" s="9" t="s">
        <v>67</v>
      </c>
      <c r="B7" s="65" t="s">
        <v>72</v>
      </c>
      <c r="C7" s="13" t="s">
        <v>71</v>
      </c>
      <c r="F7" s="54"/>
      <c r="G7" s="59" t="s">
        <v>140</v>
      </c>
      <c r="H7" s="60" t="s">
        <v>133</v>
      </c>
      <c r="I7" s="84" t="s">
        <v>48</v>
      </c>
      <c r="AD7" s="227"/>
      <c r="AE7" s="227"/>
      <c r="AF7" s="227"/>
      <c r="AG7" s="228"/>
      <c r="AH7" s="227"/>
      <c r="AI7" s="228"/>
    </row>
    <row r="8" spans="1:43" s="75" customFormat="1" ht="30" customHeight="1" x14ac:dyDescent="0.25">
      <c r="A8" s="67">
        <v>53</v>
      </c>
      <c r="B8" s="68" t="str">
        <f t="shared" ref="B8:B25" si="0">VLOOKUP(A8,contentrefmockup,2,FALSE)</f>
        <v>C.1</v>
      </c>
      <c r="C8" s="69">
        <f t="shared" ref="C8:C25" si="1">VLOOKUP(A8,contentrefmockup,15,FALSE)</f>
        <v>2</v>
      </c>
      <c r="D8" s="20"/>
      <c r="E8" s="105" t="str">
        <f t="shared" ref="E8:E25" si="2">IF(C8=1,"Phase "&amp;B8,IF(C8=2,"Step "&amp;VLOOKUP(A8,contentrefmockup,4,FALSE),B8))</f>
        <v>Step 1</v>
      </c>
      <c r="F8" s="102" t="str">
        <f t="shared" ref="F8:F25" si="3">VLOOKUP(A8,contentrefmockup,7,FALSE)</f>
        <v>Remediate weaknesses</v>
      </c>
      <c r="G8" s="175" t="str">
        <f ca="1">"Maturity level:  "&amp;O8</f>
        <v>Maturity level:  Level 1</v>
      </c>
      <c r="H8" s="176"/>
      <c r="I8" s="153"/>
      <c r="J8" s="101"/>
      <c r="K8" s="101"/>
      <c r="L8" s="101" t="str">
        <f>TEXT(B8,"0.0")</f>
        <v>C.1</v>
      </c>
      <c r="M8" s="100">
        <f ca="1">SUMIF(Y:Y,L8,G:G)/(SUMIF(Y:Y,L8,X:X))</f>
        <v>0</v>
      </c>
      <c r="N8" s="100" t="str">
        <f ca="1">HLOOKUP(M8*100,level_ref,2,TRUE)</f>
        <v>Level 1</v>
      </c>
      <c r="O8" s="100" t="str">
        <f ca="1">IF(ISERROR(N8),"",N8)</f>
        <v>Level 1</v>
      </c>
      <c r="P8" s="100">
        <f ca="1">HLOOKUP(M8*100,level_ref,3,TRUE)</f>
        <v>1</v>
      </c>
      <c r="Q8" s="100">
        <f ca="1">IF(ISERROR(P8),"",P8)</f>
        <v>1</v>
      </c>
      <c r="R8" s="100">
        <f ca="1">M8*5</f>
        <v>0</v>
      </c>
      <c r="S8" s="100"/>
      <c r="T8" s="100"/>
      <c r="U8" s="100" t="str">
        <f ca="1">IF(AND(C8&gt;4,VLOOKUP(A8,Assess_C_Reference,34,FALSE)&lt;&gt;8),LEFT(B8,3),"")</f>
        <v/>
      </c>
      <c r="V8" s="100">
        <f ca="1">VLOOKUP(A8,Weightings_Assessments,24,FALSE)</f>
        <v>0</v>
      </c>
      <c r="W8" s="100">
        <f ca="1">IF(VLOOKUP(A8,Assess_C_Reference,34,FALSE)=8,0,1)</f>
        <v>1</v>
      </c>
      <c r="X8" s="100">
        <f ca="1">W8*V8*4</f>
        <v>0</v>
      </c>
      <c r="Y8" s="75" t="str">
        <f ca="1">AG8&amp;U8</f>
        <v/>
      </c>
      <c r="Z8" s="229"/>
      <c r="AA8" s="229"/>
      <c r="AB8" s="229"/>
      <c r="AC8" s="229"/>
      <c r="AD8" s="81"/>
      <c r="AE8" s="81"/>
      <c r="AF8" s="81"/>
      <c r="AG8" s="77"/>
      <c r="AH8" s="81"/>
      <c r="AI8" s="77"/>
      <c r="AJ8" s="229"/>
      <c r="AK8" s="229"/>
      <c r="AL8" s="229"/>
      <c r="AM8" s="229"/>
      <c r="AN8" s="229"/>
      <c r="AO8" s="229"/>
      <c r="AP8" s="229"/>
      <c r="AQ8" s="229"/>
    </row>
    <row r="9" spans="1:43" s="75" customFormat="1" ht="30" x14ac:dyDescent="0.25">
      <c r="A9" s="67">
        <v>54</v>
      </c>
      <c r="B9" s="68" t="str">
        <f t="shared" si="0"/>
        <v>C.1.01</v>
      </c>
      <c r="C9" s="69">
        <f t="shared" si="1"/>
        <v>5</v>
      </c>
      <c r="D9" s="20"/>
      <c r="E9" s="86" t="str">
        <f t="shared" si="2"/>
        <v>C.1.01</v>
      </c>
      <c r="F9" s="71" t="str">
        <f t="shared" si="3"/>
        <v>Do follow-up activities include remediating weaknesses found during the testing process, reducing the risk of them being exploited again?</v>
      </c>
      <c r="G9" s="177" t="str">
        <f ca="1">VLOOKUP($A9,Assess_C_Reference,15,FALSE)</f>
        <v/>
      </c>
      <c r="H9" s="177">
        <f ca="1">(VLOOKUP(LEFT($B9,3),targets_lookup,5,FALSE))*VLOOKUP($A9,Weightings_Assessments,23,FALSE)</f>
        <v>2</v>
      </c>
      <c r="I9" s="71" t="str">
        <f ca="1">IF(VLOOKUP(A9,Assess_C_Reference,16,FALSE)=0,"",VLOOKUP(A9,Assess_C_Reference,16,FALSE))</f>
        <v/>
      </c>
      <c r="J9" s="69"/>
      <c r="K9" s="69"/>
      <c r="L9" s="69"/>
      <c r="M9" s="69"/>
      <c r="N9" s="69"/>
      <c r="O9" s="69"/>
      <c r="P9" s="69"/>
      <c r="Q9" s="69"/>
      <c r="R9" s="69"/>
      <c r="S9" s="69"/>
      <c r="T9" s="76"/>
      <c r="U9" s="100" t="str">
        <f ca="1">IF(AND(C9&gt;4,VLOOKUP(A9,Assess_C_Reference,34,FALSE)&lt;&gt;8),LEFT(B9,3),"")</f>
        <v>C.1</v>
      </c>
      <c r="V9" s="100">
        <f ca="1">VLOOKUP(A9,Weightings_Assessments,24,FALSE)</f>
        <v>1</v>
      </c>
      <c r="W9" s="100">
        <f ca="1">IF(VLOOKUP(A9,Assess_C_Reference,34,FALSE)=8,0,1)</f>
        <v>1</v>
      </c>
      <c r="X9" s="100">
        <f ca="1">W9*V9*4</f>
        <v>4</v>
      </c>
      <c r="Y9" s="75" t="str">
        <f ca="1">AG9&amp;U9</f>
        <v>C.1</v>
      </c>
      <c r="Z9" s="74"/>
      <c r="AA9" s="74"/>
      <c r="AB9" s="74"/>
      <c r="AC9" s="74"/>
      <c r="AD9" s="81"/>
      <c r="AE9" s="81"/>
      <c r="AF9" s="81"/>
      <c r="AG9" s="77"/>
      <c r="AH9" s="81"/>
      <c r="AI9" s="77"/>
      <c r="AJ9" s="74"/>
      <c r="AK9" s="74"/>
      <c r="AL9" s="74"/>
      <c r="AM9" s="74"/>
      <c r="AN9" s="74"/>
      <c r="AO9" s="74"/>
      <c r="AP9" s="74"/>
      <c r="AQ9" s="74"/>
    </row>
    <row r="10" spans="1:43" s="75" customFormat="1" ht="105" x14ac:dyDescent="0.25">
      <c r="A10" s="67">
        <v>55</v>
      </c>
      <c r="B10" s="68" t="str">
        <f t="shared" si="0"/>
        <v/>
      </c>
      <c r="C10" s="69">
        <f t="shared" si="1"/>
        <v>3</v>
      </c>
      <c r="D10" s="20"/>
      <c r="E10" s="86" t="str">
        <f t="shared" si="2"/>
        <v/>
      </c>
      <c r="F10" s="147" t="str">
        <f t="shared" si="3"/>
        <v>An effective remediation process should include addressing all issues; applying immediate or short terms solutions (e.g. patching systems, closing ports and preventing traffic from particular web sites or IP addresses), replicating results of penetration tests, determining which weaknesses to address first (e.g. based on risk ratings for critical assets), and reporting weaknesses to relevant third party organisations.</v>
      </c>
      <c r="G10" s="177"/>
      <c r="H10" s="177"/>
      <c r="I10" s="71"/>
      <c r="J10" s="69"/>
      <c r="K10" s="69"/>
      <c r="L10" s="69"/>
      <c r="M10" s="69"/>
      <c r="N10" s="69"/>
      <c r="O10" s="69"/>
      <c r="P10" s="69"/>
      <c r="Q10" s="69"/>
      <c r="R10" s="69"/>
      <c r="S10" s="69"/>
      <c r="T10" s="76"/>
      <c r="U10" s="76"/>
      <c r="V10" s="76"/>
      <c r="W10" s="76"/>
      <c r="X10" s="76"/>
      <c r="Z10" s="74"/>
      <c r="AA10" s="74"/>
      <c r="AB10" s="74"/>
      <c r="AC10" s="74"/>
      <c r="AD10" s="81"/>
      <c r="AE10" s="81"/>
      <c r="AF10" s="81"/>
      <c r="AG10" s="77"/>
      <c r="AH10" s="81"/>
      <c r="AI10" s="77"/>
      <c r="AJ10" s="74"/>
      <c r="AK10" s="74"/>
      <c r="AL10" s="74"/>
      <c r="AM10" s="74"/>
      <c r="AN10" s="74"/>
      <c r="AO10" s="74"/>
      <c r="AP10" s="74"/>
      <c r="AQ10" s="74"/>
    </row>
    <row r="11" spans="1:43" s="75" customFormat="1" ht="30" customHeight="1" x14ac:dyDescent="0.25">
      <c r="A11" s="67">
        <v>56</v>
      </c>
      <c r="B11" s="68" t="str">
        <f t="shared" si="0"/>
        <v>C.2</v>
      </c>
      <c r="C11" s="69">
        <f t="shared" si="1"/>
        <v>2</v>
      </c>
      <c r="D11" s="20"/>
      <c r="E11" s="105" t="str">
        <f t="shared" si="2"/>
        <v>Step 2</v>
      </c>
      <c r="F11" s="102" t="str">
        <f t="shared" si="3"/>
        <v>Address root causes of weaknesses</v>
      </c>
      <c r="G11" s="175" t="str">
        <f ca="1">"Maturity level:  "&amp;O11</f>
        <v>Maturity level:  Level 1</v>
      </c>
      <c r="H11" s="176"/>
      <c r="I11" s="153"/>
      <c r="J11" s="101"/>
      <c r="K11" s="101"/>
      <c r="L11" s="101" t="str">
        <f>TEXT(B11,"0.0")</f>
        <v>C.2</v>
      </c>
      <c r="M11" s="100">
        <f ca="1">SUMIF(Y:Y,L11,G:G)/(SUMIF(Y:Y,L11,X:X))</f>
        <v>0</v>
      </c>
      <c r="N11" s="100" t="str">
        <f ca="1">HLOOKUP(M11*100,level_ref,2,TRUE)</f>
        <v>Level 1</v>
      </c>
      <c r="O11" s="100" t="str">
        <f ca="1">IF(ISERROR(N11),"",N11)</f>
        <v>Level 1</v>
      </c>
      <c r="P11" s="100">
        <f ca="1">HLOOKUP(M11*100,level_ref,3,TRUE)</f>
        <v>1</v>
      </c>
      <c r="Q11" s="100">
        <f ca="1">IF(ISERROR(P11),"",P11)</f>
        <v>1</v>
      </c>
      <c r="R11" s="100">
        <f ca="1">M11*5</f>
        <v>0</v>
      </c>
      <c r="S11" s="100"/>
      <c r="T11" s="100"/>
      <c r="U11" s="100" t="str">
        <f ca="1">IF(AND(C11&gt;4,VLOOKUP(A11,Assess_C_Reference,34,FALSE)&lt;&gt;8),LEFT(B11,3),"")</f>
        <v/>
      </c>
      <c r="V11" s="100">
        <f ca="1">VLOOKUP(A11,Weightings_Assessments,24,FALSE)</f>
        <v>0</v>
      </c>
      <c r="W11" s="100">
        <f ca="1">IF(VLOOKUP(A11,Assess_C_Reference,34,FALSE)=8,0,1)</f>
        <v>1</v>
      </c>
      <c r="X11" s="100">
        <f ca="1">W11*V11*4</f>
        <v>0</v>
      </c>
      <c r="Y11" s="75" t="str">
        <f ca="1">AG11&amp;U11</f>
        <v/>
      </c>
      <c r="Z11" s="74"/>
      <c r="AA11" s="74"/>
      <c r="AB11" s="74"/>
      <c r="AC11" s="74"/>
      <c r="AD11" s="81"/>
      <c r="AE11" s="81"/>
      <c r="AF11" s="81"/>
      <c r="AG11" s="77"/>
      <c r="AH11" s="81"/>
      <c r="AI11" s="77"/>
      <c r="AJ11" s="74"/>
      <c r="AK11" s="74"/>
      <c r="AL11" s="74"/>
      <c r="AM11" s="74"/>
      <c r="AN11" s="74"/>
      <c r="AO11" s="74"/>
      <c r="AP11" s="74"/>
      <c r="AQ11" s="74"/>
    </row>
    <row r="12" spans="1:43" s="75" customFormat="1" ht="30" x14ac:dyDescent="0.25">
      <c r="A12" s="67">
        <v>57</v>
      </c>
      <c r="B12" s="68" t="str">
        <f t="shared" si="0"/>
        <v>C.2.01</v>
      </c>
      <c r="C12" s="69">
        <f t="shared" si="1"/>
        <v>5</v>
      </c>
      <c r="D12" s="20"/>
      <c r="E12" s="86" t="str">
        <f t="shared" si="2"/>
        <v>C.2.01</v>
      </c>
      <c r="F12" s="71" t="str">
        <f t="shared" si="3"/>
        <v>Do follow-up activities include analysing and addressing the root causes of weaknesses identified in penetration testing?</v>
      </c>
      <c r="G12" s="177" t="str">
        <f ca="1">VLOOKUP($A12,Assess_C_Reference,15,FALSE)</f>
        <v/>
      </c>
      <c r="H12" s="177">
        <f ca="1">(VLOOKUP(LEFT($B12,3),targets_lookup,5,FALSE))*VLOOKUP($A12,Weightings_Assessments,23,FALSE)</f>
        <v>2</v>
      </c>
      <c r="I12" s="71" t="str">
        <f ca="1">IF(VLOOKUP(A12,Assess_C_Reference,16,FALSE)=0,"",VLOOKUP(A12,Assess_C_Reference,16,FALSE))</f>
        <v/>
      </c>
      <c r="J12" s="69"/>
      <c r="K12" s="69"/>
      <c r="L12" s="69"/>
      <c r="M12" s="69"/>
      <c r="N12" s="69"/>
      <c r="O12" s="69"/>
      <c r="P12" s="69"/>
      <c r="Q12" s="69"/>
      <c r="R12" s="69"/>
      <c r="S12" s="69"/>
      <c r="T12" s="76"/>
      <c r="U12" s="100" t="str">
        <f ca="1">IF(AND(C12&gt;4,VLOOKUP(A12,Assess_C_Reference,34,FALSE)&lt;&gt;8),LEFT(B12,3),"")</f>
        <v>C.2</v>
      </c>
      <c r="V12" s="100">
        <f ca="1">VLOOKUP(A12,Weightings_Assessments,24,FALSE)</f>
        <v>1</v>
      </c>
      <c r="W12" s="100">
        <f ca="1">IF(VLOOKUP(A12,Assess_C_Reference,34,FALSE)=8,0,1)</f>
        <v>1</v>
      </c>
      <c r="X12" s="100">
        <f ca="1">W12*V12*4</f>
        <v>4</v>
      </c>
      <c r="Y12" s="75" t="str">
        <f ca="1">AG12&amp;U12</f>
        <v>C.2</v>
      </c>
      <c r="Z12" s="74"/>
      <c r="AA12" s="74"/>
      <c r="AB12" s="74"/>
      <c r="AC12" s="74"/>
      <c r="AD12" s="81"/>
      <c r="AE12" s="81"/>
      <c r="AF12" s="81"/>
      <c r="AG12" s="77"/>
      <c r="AH12" s="81"/>
      <c r="AI12" s="77"/>
      <c r="AJ12" s="74"/>
      <c r="AK12" s="74"/>
      <c r="AL12" s="74"/>
      <c r="AM12" s="74"/>
      <c r="AN12" s="74"/>
      <c r="AO12" s="74"/>
      <c r="AP12" s="74"/>
      <c r="AQ12" s="74"/>
    </row>
    <row r="13" spans="1:43" s="75" customFormat="1" ht="75" x14ac:dyDescent="0.25">
      <c r="A13" s="67">
        <v>58</v>
      </c>
      <c r="B13" s="68" t="str">
        <f t="shared" si="0"/>
        <v/>
      </c>
      <c r="C13" s="69">
        <f t="shared" si="1"/>
        <v>3</v>
      </c>
      <c r="D13" s="20"/>
      <c r="E13" s="86" t="str">
        <f t="shared" si="2"/>
        <v/>
      </c>
      <c r="F13" s="147" t="str">
        <f t="shared" si="3"/>
        <v>Root cause analysis should include: identifying the real root causes of exposures; evaluating potential business impact; identifying more endemic or fundamental root causes; involving qualified, experienced security professionals to help define corrective action strategy and plans.</v>
      </c>
      <c r="G13" s="177"/>
      <c r="H13" s="177"/>
      <c r="I13" s="71"/>
      <c r="J13" s="69"/>
      <c r="K13" s="69"/>
      <c r="L13" s="69"/>
      <c r="M13" s="69"/>
      <c r="N13" s="69"/>
      <c r="O13" s="69"/>
      <c r="P13" s="69"/>
      <c r="Q13" s="69"/>
      <c r="R13" s="69"/>
      <c r="S13" s="69"/>
      <c r="T13" s="76"/>
      <c r="U13" s="76"/>
      <c r="V13" s="76"/>
      <c r="W13" s="76"/>
      <c r="X13" s="76"/>
      <c r="Z13" s="74"/>
      <c r="AA13" s="74"/>
      <c r="AB13" s="74"/>
      <c r="AC13" s="74"/>
      <c r="AD13" s="81"/>
      <c r="AE13" s="81"/>
      <c r="AF13" s="81"/>
      <c r="AG13" s="77"/>
      <c r="AH13" s="81"/>
      <c r="AI13" s="77"/>
      <c r="AJ13" s="74"/>
      <c r="AK13" s="74"/>
      <c r="AL13" s="74"/>
      <c r="AM13" s="74"/>
      <c r="AN13" s="74"/>
      <c r="AO13" s="74"/>
      <c r="AP13" s="74"/>
      <c r="AQ13" s="74"/>
    </row>
    <row r="14" spans="1:43" s="75" customFormat="1" ht="30" customHeight="1" x14ac:dyDescent="0.25">
      <c r="A14" s="67">
        <v>59</v>
      </c>
      <c r="B14" s="68" t="str">
        <f t="shared" si="0"/>
        <v>C.3</v>
      </c>
      <c r="C14" s="69">
        <f t="shared" si="1"/>
        <v>2</v>
      </c>
      <c r="D14" s="20"/>
      <c r="E14" s="105" t="str">
        <f t="shared" si="2"/>
        <v>Step 3</v>
      </c>
      <c r="F14" s="102" t="str">
        <f t="shared" si="3"/>
        <v>Initiate improvement programme</v>
      </c>
      <c r="G14" s="175" t="str">
        <f ca="1">"Maturity level:  "&amp;O14</f>
        <v>Maturity level:  Level 1</v>
      </c>
      <c r="H14" s="176"/>
      <c r="I14" s="153"/>
      <c r="J14" s="101"/>
      <c r="K14" s="101"/>
      <c r="L14" s="101" t="str">
        <f>TEXT(B14,"0.0")</f>
        <v>C.3</v>
      </c>
      <c r="M14" s="100">
        <f ca="1">SUMIF(Y:Y,L14,G:G)/(SUMIF(Y:Y,L14,X:X))</f>
        <v>0</v>
      </c>
      <c r="N14" s="100" t="str">
        <f ca="1">HLOOKUP(M14*100,level_ref,2,TRUE)</f>
        <v>Level 1</v>
      </c>
      <c r="O14" s="100" t="str">
        <f ca="1">IF(ISERROR(N14),"",N14)</f>
        <v>Level 1</v>
      </c>
      <c r="P14" s="100">
        <f ca="1">HLOOKUP(M14*100,level_ref,3,TRUE)</f>
        <v>1</v>
      </c>
      <c r="Q14" s="100">
        <f ca="1">IF(ISERROR(P14),"",P14)</f>
        <v>1</v>
      </c>
      <c r="R14" s="100">
        <f ca="1">M14*5</f>
        <v>0</v>
      </c>
      <c r="S14" s="100"/>
      <c r="T14" s="100"/>
      <c r="U14" s="100" t="str">
        <f ca="1">IF(AND(C14&gt;4,VLOOKUP(A14,Assess_C_Reference,34,FALSE)&lt;&gt;8),LEFT(B14,3),"")</f>
        <v/>
      </c>
      <c r="V14" s="100">
        <f ca="1">VLOOKUP(A14,Weightings_Assessments,24,FALSE)</f>
        <v>0</v>
      </c>
      <c r="W14" s="100">
        <f ca="1">IF(VLOOKUP(A14,Assess_C_Reference,34,FALSE)=8,0,1)</f>
        <v>1</v>
      </c>
      <c r="X14" s="100">
        <f ca="1">W14*V14*4</f>
        <v>0</v>
      </c>
      <c r="Y14" s="75" t="str">
        <f ca="1">AG14&amp;U14</f>
        <v/>
      </c>
      <c r="Z14" s="74"/>
      <c r="AA14" s="74"/>
      <c r="AB14" s="74"/>
      <c r="AC14" s="74"/>
      <c r="AD14" s="81"/>
      <c r="AE14" s="81"/>
      <c r="AF14" s="81"/>
      <c r="AG14" s="77"/>
      <c r="AH14" s="81"/>
      <c r="AI14" s="77"/>
      <c r="AJ14" s="74"/>
      <c r="AK14" s="74"/>
      <c r="AL14" s="74"/>
      <c r="AM14" s="74"/>
      <c r="AN14" s="74"/>
      <c r="AO14" s="74"/>
      <c r="AP14" s="74"/>
      <c r="AQ14" s="74"/>
    </row>
    <row r="15" spans="1:43" s="75" customFormat="1" ht="30" x14ac:dyDescent="0.25">
      <c r="A15" s="67">
        <v>60</v>
      </c>
      <c r="B15" s="68" t="str">
        <f t="shared" si="0"/>
        <v>C.3.01</v>
      </c>
      <c r="C15" s="69">
        <f t="shared" si="1"/>
        <v>5</v>
      </c>
      <c r="D15" s="20"/>
      <c r="E15" s="86" t="str">
        <f t="shared" si="2"/>
        <v>C.3.01</v>
      </c>
      <c r="F15" s="71" t="str">
        <f t="shared" si="3"/>
        <v>On completion of penetration tests, is an improvement programme initiated?</v>
      </c>
      <c r="G15" s="177" t="str">
        <f ca="1">VLOOKUP($A15,Assess_C_Reference,15,FALSE)</f>
        <v/>
      </c>
      <c r="H15" s="177">
        <f ca="1">(VLOOKUP(LEFT($B15,3),targets_lookup,5,FALSE))*VLOOKUP($A15,Weightings_Assessments,23,FALSE)</f>
        <v>2</v>
      </c>
      <c r="I15" s="71" t="str">
        <f ca="1">IF(VLOOKUP(A15,Assess_C_Reference,16,FALSE)=0,"",VLOOKUP(A15,Assess_C_Reference,16,FALSE))</f>
        <v/>
      </c>
      <c r="J15" s="69"/>
      <c r="K15" s="69"/>
      <c r="L15" s="69"/>
      <c r="M15" s="69"/>
      <c r="N15" s="69"/>
      <c r="O15" s="69"/>
      <c r="P15" s="69"/>
      <c r="Q15" s="69"/>
      <c r="R15" s="69"/>
      <c r="S15" s="69"/>
      <c r="T15" s="76"/>
      <c r="U15" s="100" t="str">
        <f ca="1">IF(AND(C15&gt;4,VLOOKUP(A15,Assess_C_Reference,34,FALSE)&lt;&gt;8),LEFT(B15,3),"")</f>
        <v>C.3</v>
      </c>
      <c r="V15" s="100">
        <f ca="1">VLOOKUP(A15,Weightings_Assessments,24,FALSE)</f>
        <v>1</v>
      </c>
      <c r="W15" s="100">
        <f ca="1">IF(VLOOKUP(A15,Assess_C_Reference,34,FALSE)=8,0,1)</f>
        <v>1</v>
      </c>
      <c r="X15" s="100">
        <f ca="1">W15*V15*4</f>
        <v>4</v>
      </c>
      <c r="Y15" s="75" t="str">
        <f ca="1">AG15&amp;U15</f>
        <v>C.3</v>
      </c>
      <c r="Z15" s="74"/>
      <c r="AA15" s="74"/>
      <c r="AB15" s="74"/>
      <c r="AC15" s="74"/>
      <c r="AD15" s="81"/>
      <c r="AE15" s="81"/>
      <c r="AF15" s="81"/>
      <c r="AG15" s="77"/>
      <c r="AH15" s="81"/>
      <c r="AI15" s="77"/>
      <c r="AJ15" s="74"/>
      <c r="AK15" s="74"/>
      <c r="AL15" s="74"/>
      <c r="AM15" s="74"/>
      <c r="AN15" s="74"/>
      <c r="AO15" s="74"/>
      <c r="AP15" s="74"/>
      <c r="AQ15" s="74"/>
    </row>
    <row r="16" spans="1:43" s="75" customFormat="1" ht="75" x14ac:dyDescent="0.25">
      <c r="A16" s="67">
        <v>61</v>
      </c>
      <c r="B16" s="68" t="str">
        <f t="shared" si="0"/>
        <v/>
      </c>
      <c r="C16" s="69">
        <f t="shared" si="1"/>
        <v>3</v>
      </c>
      <c r="D16" s="20"/>
      <c r="E16" s="86" t="str">
        <f t="shared" si="2"/>
        <v/>
      </c>
      <c r="F16" s="147" t="str">
        <f t="shared" si="3"/>
        <v>The improvement programme should be carried out in a structured / systematic manner: addressing root causes of weakness; evaluating penetration testing effectiveness; identifying lessons learned; applying good practice enterprise-wide; creating and monitoring action plans; and agreeing approaches for future testing.</v>
      </c>
      <c r="G16" s="177"/>
      <c r="H16" s="177"/>
      <c r="I16" s="71"/>
      <c r="J16" s="69"/>
      <c r="K16" s="69"/>
      <c r="L16" s="69"/>
      <c r="M16" s="69"/>
      <c r="N16" s="69"/>
      <c r="O16" s="69"/>
      <c r="P16" s="69"/>
      <c r="Q16" s="69"/>
      <c r="R16" s="69"/>
      <c r="S16" s="69"/>
      <c r="T16" s="76"/>
      <c r="U16" s="76"/>
      <c r="V16" s="76"/>
      <c r="W16" s="76"/>
      <c r="X16" s="76"/>
      <c r="Z16" s="74"/>
      <c r="AA16" s="74"/>
      <c r="AB16" s="74"/>
      <c r="AC16" s="74"/>
      <c r="AD16" s="81"/>
      <c r="AE16" s="81"/>
      <c r="AF16" s="81"/>
      <c r="AG16" s="77"/>
      <c r="AH16" s="81"/>
      <c r="AI16" s="77"/>
      <c r="AJ16" s="74"/>
      <c r="AK16" s="74"/>
      <c r="AL16" s="74"/>
      <c r="AM16" s="74"/>
      <c r="AN16" s="74"/>
      <c r="AO16" s="74"/>
      <c r="AP16" s="74"/>
      <c r="AQ16" s="74"/>
    </row>
    <row r="17" spans="1:43" s="75" customFormat="1" ht="30" customHeight="1" x14ac:dyDescent="0.25">
      <c r="A17" s="67">
        <v>62</v>
      </c>
      <c r="B17" s="68" t="str">
        <f t="shared" si="0"/>
        <v>C.4</v>
      </c>
      <c r="C17" s="69">
        <f t="shared" si="1"/>
        <v>2</v>
      </c>
      <c r="D17" s="20"/>
      <c r="E17" s="105" t="str">
        <f t="shared" si="2"/>
        <v>Step 4</v>
      </c>
      <c r="F17" s="102" t="str">
        <f t="shared" si="3"/>
        <v>Evaluate penetration testing effectiveness</v>
      </c>
      <c r="G17" s="175" t="str">
        <f ca="1">"Maturity level:  "&amp;O17</f>
        <v>Maturity level:  Level 1</v>
      </c>
      <c r="H17" s="176"/>
      <c r="I17" s="153"/>
      <c r="J17" s="101"/>
      <c r="K17" s="101"/>
      <c r="L17" s="101" t="str">
        <f>TEXT(B17,"0.0")</f>
        <v>C.4</v>
      </c>
      <c r="M17" s="100">
        <f ca="1">SUMIF(Y:Y,L17,G:G)/(SUMIF(Y:Y,L17,X:X))</f>
        <v>0</v>
      </c>
      <c r="N17" s="100" t="str">
        <f ca="1">HLOOKUP(M17*100,level_ref,2,TRUE)</f>
        <v>Level 1</v>
      </c>
      <c r="O17" s="100" t="str">
        <f ca="1">IF(ISERROR(N17),"",N17)</f>
        <v>Level 1</v>
      </c>
      <c r="P17" s="100">
        <f ca="1">HLOOKUP(M17*100,level_ref,3,TRUE)</f>
        <v>1</v>
      </c>
      <c r="Q17" s="100">
        <f ca="1">IF(ISERROR(P17),"",P17)</f>
        <v>1</v>
      </c>
      <c r="R17" s="100">
        <f ca="1">M17*5</f>
        <v>0</v>
      </c>
      <c r="S17" s="100"/>
      <c r="T17" s="100"/>
      <c r="U17" s="100" t="str">
        <f ca="1">IF(AND(C17&gt;4,VLOOKUP(A17,Assess_C_Reference,34,FALSE)&lt;&gt;8),LEFT(B17,3),"")</f>
        <v/>
      </c>
      <c r="V17" s="100">
        <f ca="1">VLOOKUP(A17,Weightings_Assessments,24,FALSE)</f>
        <v>0</v>
      </c>
      <c r="W17" s="100">
        <f ca="1">IF(VLOOKUP(A17,Assess_C_Reference,34,FALSE)=8,0,1)</f>
        <v>1</v>
      </c>
      <c r="X17" s="100">
        <f ca="1">W17*V17*4</f>
        <v>0</v>
      </c>
      <c r="Y17" s="75" t="str">
        <f ca="1">AG17&amp;U17</f>
        <v/>
      </c>
      <c r="Z17" s="74"/>
      <c r="AA17" s="74"/>
      <c r="AB17" s="74"/>
      <c r="AC17" s="74"/>
      <c r="AD17" s="81"/>
      <c r="AE17" s="81"/>
      <c r="AF17" s="81"/>
      <c r="AG17" s="77"/>
      <c r="AH17" s="81"/>
      <c r="AI17" s="77"/>
      <c r="AJ17" s="74"/>
      <c r="AK17" s="74"/>
      <c r="AL17" s="74"/>
      <c r="AM17" s="74"/>
      <c r="AN17" s="74"/>
      <c r="AO17" s="74"/>
      <c r="AP17" s="74"/>
      <c r="AQ17" s="74"/>
    </row>
    <row r="18" spans="1:43" s="75" customFormat="1" ht="30" customHeight="1" x14ac:dyDescent="0.25">
      <c r="A18" s="67">
        <v>63</v>
      </c>
      <c r="B18" s="68" t="str">
        <f t="shared" si="0"/>
        <v>C.4.01</v>
      </c>
      <c r="C18" s="69">
        <f t="shared" si="1"/>
        <v>5</v>
      </c>
      <c r="D18" s="20"/>
      <c r="E18" s="86" t="str">
        <f t="shared" si="2"/>
        <v>C.4.01</v>
      </c>
      <c r="F18" s="71" t="str">
        <f t="shared" si="3"/>
        <v>Is the effectiveness of your penetration tests evaluated?</v>
      </c>
      <c r="G18" s="177" t="str">
        <f ca="1">VLOOKUP($A18,Assess_C_Reference,15,FALSE)</f>
        <v/>
      </c>
      <c r="H18" s="177">
        <f ca="1">(VLOOKUP(LEFT($B18,3),targets_lookup,5,FALSE))*VLOOKUP($A18,Weightings_Assessments,23,FALSE)</f>
        <v>2</v>
      </c>
      <c r="I18" s="71" t="str">
        <f ca="1">IF(VLOOKUP(A18,Assess_C_Reference,16,FALSE)=0,"",VLOOKUP(A18,Assess_C_Reference,16,FALSE))</f>
        <v/>
      </c>
      <c r="J18" s="69"/>
      <c r="K18" s="69"/>
      <c r="L18" s="69"/>
      <c r="M18" s="69"/>
      <c r="N18" s="69"/>
      <c r="O18" s="69"/>
      <c r="P18" s="69"/>
      <c r="Q18" s="69"/>
      <c r="R18" s="69"/>
      <c r="S18" s="69"/>
      <c r="T18" s="76"/>
      <c r="U18" s="100" t="str">
        <f ca="1">IF(AND(C18&gt;4,VLOOKUP(A18,Assess_C_Reference,34,FALSE)&lt;&gt;8),LEFT(B18,3),"")</f>
        <v>C.4</v>
      </c>
      <c r="V18" s="100">
        <f ca="1">VLOOKUP(A18,Weightings_Assessments,24,FALSE)</f>
        <v>1</v>
      </c>
      <c r="W18" s="100">
        <f ca="1">IF(VLOOKUP(A18,Assess_C_Reference,34,FALSE)=8,0,1)</f>
        <v>1</v>
      </c>
      <c r="X18" s="100">
        <f ca="1">W18*V18*4</f>
        <v>4</v>
      </c>
      <c r="Y18" s="75" t="str">
        <f ca="1">AG18&amp;U18</f>
        <v>C.4</v>
      </c>
      <c r="Z18" s="74"/>
      <c r="AA18" s="74"/>
      <c r="AB18" s="74"/>
      <c r="AC18" s="74"/>
      <c r="AD18" s="81"/>
      <c r="AE18" s="81"/>
      <c r="AF18" s="81"/>
      <c r="AG18" s="77"/>
      <c r="AH18" s="81"/>
      <c r="AI18" s="77"/>
      <c r="AJ18" s="74"/>
      <c r="AK18" s="74"/>
      <c r="AL18" s="74"/>
      <c r="AM18" s="74"/>
      <c r="AN18" s="74"/>
      <c r="AO18" s="74"/>
      <c r="AP18" s="74"/>
      <c r="AQ18" s="74"/>
    </row>
    <row r="19" spans="1:43" s="75" customFormat="1" ht="75" x14ac:dyDescent="0.25">
      <c r="A19" s="67">
        <v>64</v>
      </c>
      <c r="B19" s="68" t="str">
        <f t="shared" si="0"/>
        <v/>
      </c>
      <c r="C19" s="69">
        <f t="shared" si="1"/>
        <v>3</v>
      </c>
      <c r="D19" s="20"/>
      <c r="E19" s="86" t="str">
        <f t="shared" si="2"/>
        <v/>
      </c>
      <c r="F19" s="147" t="str">
        <f t="shared" si="3"/>
        <v>Evaluation of the effectiveness of penetration testing should include: determining if objectives were met; assessing if sufficient weaknesses were identified; reviewing exploitations undertaken; comparing test results to external benchmarks; and determining if value for money was obtained from your service provider.</v>
      </c>
      <c r="G19" s="177"/>
      <c r="H19" s="177"/>
      <c r="I19" s="71"/>
      <c r="J19" s="69"/>
      <c r="K19" s="69"/>
      <c r="L19" s="69"/>
      <c r="M19" s="69"/>
      <c r="N19" s="69"/>
      <c r="O19" s="69"/>
      <c r="P19" s="69"/>
      <c r="Q19" s="69"/>
      <c r="R19" s="69"/>
      <c r="S19" s="69"/>
      <c r="T19" s="76"/>
      <c r="U19" s="76"/>
      <c r="V19" s="76"/>
      <c r="W19" s="76"/>
      <c r="X19" s="76"/>
      <c r="Z19" s="74"/>
      <c r="AA19" s="74"/>
      <c r="AB19" s="74"/>
      <c r="AC19" s="74"/>
      <c r="AD19" s="81"/>
      <c r="AE19" s="81"/>
      <c r="AF19" s="81"/>
      <c r="AG19" s="77"/>
      <c r="AH19" s="81"/>
      <c r="AI19" s="77"/>
      <c r="AJ19" s="74"/>
      <c r="AK19" s="74"/>
      <c r="AL19" s="74"/>
      <c r="AM19" s="74"/>
      <c r="AN19" s="74"/>
      <c r="AO19" s="74"/>
      <c r="AP19" s="74"/>
      <c r="AQ19" s="74"/>
    </row>
    <row r="20" spans="1:43" s="75" customFormat="1" ht="30" customHeight="1" x14ac:dyDescent="0.25">
      <c r="A20" s="67">
        <v>65</v>
      </c>
      <c r="B20" s="68" t="str">
        <f t="shared" si="0"/>
        <v>C.5</v>
      </c>
      <c r="C20" s="69">
        <f t="shared" si="1"/>
        <v>2</v>
      </c>
      <c r="D20" s="20"/>
      <c r="E20" s="105" t="str">
        <f t="shared" si="2"/>
        <v>Step 5</v>
      </c>
      <c r="F20" s="102" t="str">
        <f t="shared" si="3"/>
        <v>Build on lessons learned</v>
      </c>
      <c r="G20" s="175" t="str">
        <f ca="1">"Maturity level:  "&amp;O20</f>
        <v>Maturity level:  Level 1</v>
      </c>
      <c r="H20" s="176"/>
      <c r="I20" s="153"/>
      <c r="J20" s="101"/>
      <c r="K20" s="101"/>
      <c r="L20" s="101" t="str">
        <f>TEXT(B20,"0.0")</f>
        <v>C.5</v>
      </c>
      <c r="M20" s="100">
        <f ca="1">SUMIF(Y:Y,L20,G:G)/(SUMIF(Y:Y,L20,X:X))</f>
        <v>0</v>
      </c>
      <c r="N20" s="100" t="str">
        <f ca="1">HLOOKUP(M20*100,level_ref,2,TRUE)</f>
        <v>Level 1</v>
      </c>
      <c r="O20" s="100" t="str">
        <f ca="1">IF(ISERROR(N20),"",N20)</f>
        <v>Level 1</v>
      </c>
      <c r="P20" s="100">
        <f ca="1">HLOOKUP(M20*100,level_ref,3,TRUE)</f>
        <v>1</v>
      </c>
      <c r="Q20" s="100">
        <f ca="1">IF(ISERROR(P20),"",P20)</f>
        <v>1</v>
      </c>
      <c r="R20" s="100">
        <f ca="1">M20*5</f>
        <v>0</v>
      </c>
      <c r="S20" s="100"/>
      <c r="T20" s="100"/>
      <c r="U20" s="100" t="str">
        <f ca="1">IF(AND(C20&gt;4,VLOOKUP(A20,Assess_C_Reference,34,FALSE)&lt;&gt;8),LEFT(B20,3),"")</f>
        <v/>
      </c>
      <c r="V20" s="100">
        <f ca="1">VLOOKUP(A20,Weightings_Assessments,24,FALSE)</f>
        <v>0</v>
      </c>
      <c r="W20" s="100">
        <f ca="1">IF(VLOOKUP(A20,Assess_C_Reference,34,FALSE)=8,0,1)</f>
        <v>1</v>
      </c>
      <c r="X20" s="100">
        <f ca="1">W20*V20*4</f>
        <v>0</v>
      </c>
      <c r="Y20" s="75" t="str">
        <f ca="1">AG20&amp;U20</f>
        <v/>
      </c>
      <c r="Z20" s="74"/>
      <c r="AA20" s="74"/>
      <c r="AB20" s="74"/>
      <c r="AC20" s="74"/>
      <c r="AD20" s="81"/>
      <c r="AE20" s="81"/>
      <c r="AF20" s="81"/>
      <c r="AG20" s="77"/>
      <c r="AH20" s="81"/>
      <c r="AI20" s="77"/>
      <c r="AJ20" s="74"/>
      <c r="AK20" s="74"/>
      <c r="AL20" s="74"/>
      <c r="AM20" s="74"/>
      <c r="AN20" s="74"/>
      <c r="AO20" s="74"/>
      <c r="AP20" s="74"/>
      <c r="AQ20" s="74"/>
    </row>
    <row r="21" spans="1:43" s="75" customFormat="1" ht="45" x14ac:dyDescent="0.25">
      <c r="A21" s="67">
        <v>66</v>
      </c>
      <c r="B21" s="68" t="str">
        <f t="shared" si="0"/>
        <v>C.5.01</v>
      </c>
      <c r="C21" s="69">
        <f t="shared" si="1"/>
        <v>5</v>
      </c>
      <c r="D21" s="20"/>
      <c r="E21" s="86" t="str">
        <f t="shared" si="2"/>
        <v>C.5.01</v>
      </c>
      <c r="F21" s="71" t="str">
        <f t="shared" si="3"/>
        <v>Does your penetration testing approach include identifying, recording, analysing and acting upon lessons learned, ensuring good practices are applied to other environments?</v>
      </c>
      <c r="G21" s="177" t="str">
        <f ca="1">VLOOKUP($A21,Assess_C_Reference,15,FALSE)</f>
        <v/>
      </c>
      <c r="H21" s="177">
        <f ca="1">(VLOOKUP(LEFT($B21,3),targets_lookup,5,FALSE))*VLOOKUP($A21,Weightings_Assessments,23,FALSE)</f>
        <v>2</v>
      </c>
      <c r="I21" s="71" t="str">
        <f ca="1">IF(VLOOKUP(A21,Assess_C_Reference,16,FALSE)=0,"",VLOOKUP(A21,Assess_C_Reference,16,FALSE))</f>
        <v/>
      </c>
      <c r="J21" s="69"/>
      <c r="K21" s="69"/>
      <c r="L21" s="69"/>
      <c r="M21" s="69"/>
      <c r="N21" s="69"/>
      <c r="O21" s="69"/>
      <c r="P21" s="69"/>
      <c r="Q21" s="69"/>
      <c r="R21" s="69"/>
      <c r="S21" s="69"/>
      <c r="T21" s="76"/>
      <c r="U21" s="100" t="str">
        <f ca="1">IF(AND(C21&gt;4,VLOOKUP(A21,Assess_C_Reference,34,FALSE)&lt;&gt;8),LEFT(B21,3),"")</f>
        <v>C.5</v>
      </c>
      <c r="V21" s="100">
        <f ca="1">VLOOKUP(A21,Weightings_Assessments,24,FALSE)</f>
        <v>1</v>
      </c>
      <c r="W21" s="100">
        <f ca="1">IF(VLOOKUP(A21,Assess_C_Reference,34,FALSE)=8,0,1)</f>
        <v>1</v>
      </c>
      <c r="X21" s="100">
        <f ca="1">W21*V21*4</f>
        <v>4</v>
      </c>
      <c r="Y21" s="75" t="str">
        <f ca="1">AG21&amp;U21</f>
        <v>C.5</v>
      </c>
      <c r="Z21" s="74"/>
      <c r="AA21" s="74"/>
      <c r="AB21" s="74"/>
      <c r="AC21" s="74"/>
      <c r="AD21" s="81"/>
      <c r="AE21" s="81"/>
      <c r="AF21" s="81"/>
      <c r="AG21" s="77"/>
      <c r="AH21" s="81"/>
      <c r="AI21" s="77"/>
      <c r="AJ21" s="74"/>
      <c r="AK21" s="74"/>
      <c r="AL21" s="74"/>
      <c r="AM21" s="74"/>
      <c r="AN21" s="74"/>
      <c r="AO21" s="74"/>
      <c r="AP21" s="74"/>
      <c r="AQ21" s="74"/>
    </row>
    <row r="22" spans="1:43" s="75" customFormat="1" ht="105" x14ac:dyDescent="0.25">
      <c r="A22" s="67">
        <v>67</v>
      </c>
      <c r="B22" s="68" t="str">
        <f t="shared" si="0"/>
        <v/>
      </c>
      <c r="C22" s="69">
        <f t="shared" si="1"/>
        <v>3</v>
      </c>
      <c r="D22" s="20"/>
      <c r="E22" s="86" t="str">
        <f t="shared" si="2"/>
        <v/>
      </c>
      <c r="F22" s="147" t="str">
        <f t="shared" si="3"/>
        <v>Lessons learned before, during and after penetration tests have been conducted should be used to help in planning future tests and provide feedback to service providers to help them improve processes. Good practices identified as a result of penetration tests conducted for one environment should be applied to a wide range of other environments, and rolled out in a consistent and effective manner, fixing root causes endemically.</v>
      </c>
      <c r="G22" s="177"/>
      <c r="H22" s="177"/>
      <c r="I22" s="71"/>
      <c r="J22" s="69"/>
      <c r="K22" s="69"/>
      <c r="L22" s="69"/>
      <c r="M22" s="69"/>
      <c r="N22" s="69"/>
      <c r="O22" s="69"/>
      <c r="P22" s="69"/>
      <c r="Q22" s="69"/>
      <c r="R22" s="69"/>
      <c r="S22" s="69"/>
      <c r="T22" s="76"/>
      <c r="U22" s="76"/>
      <c r="V22" s="76"/>
      <c r="W22" s="76"/>
      <c r="X22" s="76"/>
      <c r="Z22" s="74"/>
      <c r="AA22" s="74"/>
      <c r="AB22" s="74"/>
      <c r="AC22" s="74"/>
      <c r="AD22" s="81"/>
      <c r="AE22" s="81"/>
      <c r="AF22" s="81"/>
      <c r="AG22" s="77"/>
      <c r="AH22" s="81"/>
      <c r="AI22" s="77"/>
      <c r="AJ22" s="74"/>
      <c r="AK22" s="74"/>
      <c r="AL22" s="74"/>
      <c r="AM22" s="74"/>
      <c r="AN22" s="74"/>
      <c r="AO22" s="74"/>
      <c r="AP22" s="74"/>
      <c r="AQ22" s="74"/>
    </row>
    <row r="23" spans="1:43" s="75" customFormat="1" ht="30" customHeight="1" x14ac:dyDescent="0.25">
      <c r="A23" s="67">
        <v>68</v>
      </c>
      <c r="B23" s="68" t="str">
        <f t="shared" si="0"/>
        <v>C.6</v>
      </c>
      <c r="C23" s="69">
        <f t="shared" si="1"/>
        <v>2</v>
      </c>
      <c r="D23" s="20"/>
      <c r="E23" s="105" t="str">
        <f t="shared" si="2"/>
        <v>Step 6</v>
      </c>
      <c r="F23" s="102" t="str">
        <f t="shared" si="3"/>
        <v>Create and monitor action plans</v>
      </c>
      <c r="G23" s="175" t="str">
        <f ca="1">"Maturity level:  "&amp;O23</f>
        <v>Maturity level:  Level 1</v>
      </c>
      <c r="H23" s="176"/>
      <c r="I23" s="153"/>
      <c r="J23" s="101"/>
      <c r="K23" s="101"/>
      <c r="L23" s="101" t="str">
        <f>TEXT(B23,"0.0")</f>
        <v>C.6</v>
      </c>
      <c r="M23" s="100">
        <f ca="1">SUMIF(Y:Y,L23,G:G)/(SUMIF(Y:Y,L23,X:X))</f>
        <v>0</v>
      </c>
      <c r="N23" s="100" t="str">
        <f ca="1">HLOOKUP(M23*100,level_ref,2,TRUE)</f>
        <v>Level 1</v>
      </c>
      <c r="O23" s="100" t="str">
        <f ca="1">IF(ISERROR(N23),"",N23)</f>
        <v>Level 1</v>
      </c>
      <c r="P23" s="100">
        <f ca="1">HLOOKUP(M23*100,level_ref,3,TRUE)</f>
        <v>1</v>
      </c>
      <c r="Q23" s="100">
        <f ca="1">IF(ISERROR(P23),"",P23)</f>
        <v>1</v>
      </c>
      <c r="R23" s="100">
        <f ca="1">M23*5</f>
        <v>0</v>
      </c>
      <c r="S23" s="100"/>
      <c r="T23" s="100"/>
      <c r="U23" s="100" t="str">
        <f ca="1">IF(AND(C23&gt;4,VLOOKUP(A23,Assess_C_Reference,34,FALSE)&lt;&gt;8),LEFT(B23,3),"")</f>
        <v/>
      </c>
      <c r="V23" s="100">
        <f ca="1">VLOOKUP(A23,Weightings_Assessments,24,FALSE)</f>
        <v>0</v>
      </c>
      <c r="W23" s="100">
        <f ca="1">IF(VLOOKUP(A23,Assess_C_Reference,34,FALSE)=8,0,1)</f>
        <v>1</v>
      </c>
      <c r="X23" s="100">
        <f ca="1">W23*V23*4</f>
        <v>0</v>
      </c>
      <c r="Y23" s="75" t="str">
        <f ca="1">AG23&amp;U23</f>
        <v/>
      </c>
      <c r="Z23" s="74"/>
      <c r="AA23" s="74"/>
      <c r="AB23" s="74"/>
      <c r="AC23" s="74"/>
      <c r="AD23" s="81"/>
      <c r="AE23" s="81"/>
      <c r="AF23" s="81"/>
      <c r="AG23" s="77"/>
      <c r="AH23" s="81"/>
      <c r="AI23" s="77"/>
      <c r="AJ23" s="74"/>
      <c r="AK23" s="74"/>
      <c r="AL23" s="74"/>
      <c r="AM23" s="74"/>
      <c r="AN23" s="74"/>
      <c r="AO23" s="74"/>
      <c r="AP23" s="74"/>
      <c r="AQ23" s="74"/>
    </row>
    <row r="24" spans="1:43" s="75" customFormat="1" ht="30" x14ac:dyDescent="0.25">
      <c r="A24" s="67">
        <v>69</v>
      </c>
      <c r="B24" s="68" t="str">
        <f t="shared" si="0"/>
        <v>C.6.01</v>
      </c>
      <c r="C24" s="69">
        <f t="shared" si="1"/>
        <v>5</v>
      </c>
      <c r="D24" s="20"/>
      <c r="E24" s="86" t="str">
        <f t="shared" si="2"/>
        <v>C.6.01</v>
      </c>
      <c r="F24" s="71" t="str">
        <f t="shared" si="3"/>
        <v>Are action plans created to help act upon follow-up activities undertaken and used to provide input into the design and scope of future tests?</v>
      </c>
      <c r="G24" s="177" t="str">
        <f ca="1">VLOOKUP($A24,Assess_C_Reference,15,FALSE)</f>
        <v/>
      </c>
      <c r="H24" s="177">
        <f ca="1">(VLOOKUP(LEFT($B24,3),targets_lookup,5,FALSE))*VLOOKUP($A24,Weightings_Assessments,23,FALSE)</f>
        <v>2</v>
      </c>
      <c r="I24" s="71" t="str">
        <f ca="1">IF(VLOOKUP(A24,Assess_C_Reference,16,FALSE)=0,"",VLOOKUP(A24,Assess_C_Reference,16,FALSE))</f>
        <v/>
      </c>
      <c r="J24" s="69"/>
      <c r="K24" s="69"/>
      <c r="L24" s="69"/>
      <c r="M24" s="69"/>
      <c r="N24" s="69"/>
      <c r="O24" s="69"/>
      <c r="P24" s="69"/>
      <c r="Q24" s="69"/>
      <c r="R24" s="69"/>
      <c r="S24" s="69"/>
      <c r="T24" s="76"/>
      <c r="U24" s="100" t="str">
        <f ca="1">IF(AND(C24&gt;4,VLOOKUP(A24,Assess_C_Reference,34,FALSE)&lt;&gt;8),LEFT(B24,3),"")</f>
        <v>C.6</v>
      </c>
      <c r="V24" s="100">
        <f ca="1">VLOOKUP(A24,Weightings_Assessments,24,FALSE)</f>
        <v>1</v>
      </c>
      <c r="W24" s="100">
        <f ca="1">IF(VLOOKUP(A24,Assess_C_Reference,34,FALSE)=8,0,1)</f>
        <v>1</v>
      </c>
      <c r="X24" s="100">
        <f ca="1">W24*V24*4</f>
        <v>4</v>
      </c>
      <c r="Y24" s="75" t="str">
        <f ca="1">AG24&amp;U24</f>
        <v>C.6</v>
      </c>
      <c r="Z24" s="74"/>
      <c r="AA24" s="74"/>
      <c r="AB24" s="74"/>
      <c r="AC24" s="74"/>
      <c r="AD24" s="81"/>
      <c r="AE24" s="81"/>
      <c r="AF24" s="81"/>
      <c r="AG24" s="77"/>
      <c r="AH24" s="81"/>
      <c r="AI24" s="77"/>
      <c r="AJ24" s="74"/>
      <c r="AK24" s="74"/>
      <c r="AL24" s="74"/>
      <c r="AM24" s="74"/>
      <c r="AN24" s="74"/>
      <c r="AO24" s="74"/>
      <c r="AP24" s="74"/>
      <c r="AQ24" s="74"/>
    </row>
    <row r="25" spans="1:43" s="75" customFormat="1" ht="135" x14ac:dyDescent="0.25">
      <c r="A25" s="67">
        <v>70</v>
      </c>
      <c r="B25" s="68" t="str">
        <f t="shared" si="0"/>
        <v/>
      </c>
      <c r="C25" s="69">
        <f t="shared" si="1"/>
        <v>3</v>
      </c>
      <c r="D25" s="20"/>
      <c r="E25" s="86" t="str">
        <f t="shared" si="2"/>
        <v/>
      </c>
      <c r="F25" s="147" t="str">
        <f t="shared" si="3"/>
        <v>Actions plans should: be formally developed and approved; outline all relevant actions to be taken, include relevant details of the actions to be taken, implemented effectively and monitored to ensure progress is being made and that risks are being kept within acceptable limits. Results from penetration tests should be used when considering what to test in the future (e.g. infrastructure, web applications, mobile devices), how future tests should be undertaken; and when (e.g. on a regular basis (e.g. annually); after significant technical or business changes are made: or in response to a major security incident).</v>
      </c>
      <c r="G25" s="177"/>
      <c r="H25" s="177"/>
      <c r="I25" s="71"/>
      <c r="J25" s="69"/>
      <c r="K25" s="69"/>
      <c r="L25" s="69"/>
      <c r="M25" s="69"/>
      <c r="N25" s="69"/>
      <c r="O25" s="69"/>
      <c r="P25" s="69"/>
      <c r="Q25" s="69"/>
      <c r="R25" s="69"/>
      <c r="S25" s="69"/>
      <c r="T25" s="76"/>
      <c r="U25" s="76"/>
      <c r="V25" s="76"/>
      <c r="W25" s="76"/>
      <c r="X25" s="76"/>
      <c r="Z25" s="74"/>
      <c r="AA25" s="74"/>
      <c r="AB25" s="74"/>
      <c r="AC25" s="74"/>
      <c r="AD25" s="81"/>
      <c r="AE25" s="81"/>
      <c r="AF25" s="81"/>
      <c r="AG25" s="77"/>
      <c r="AH25" s="81"/>
      <c r="AI25" s="77"/>
      <c r="AJ25" s="74"/>
      <c r="AK25" s="74"/>
      <c r="AL25" s="74"/>
      <c r="AM25" s="74"/>
      <c r="AN25" s="74"/>
      <c r="AO25" s="74"/>
      <c r="AP25" s="74"/>
      <c r="AQ25" s="74"/>
    </row>
    <row r="26" spans="1:43" x14ac:dyDescent="0.25">
      <c r="Z26" s="135"/>
      <c r="AA26" s="135"/>
      <c r="AB26" s="135"/>
      <c r="AC26" s="135"/>
      <c r="AD26" s="135"/>
      <c r="AE26" s="135"/>
      <c r="AF26" s="135"/>
      <c r="AG26" s="135"/>
      <c r="AH26" s="135"/>
      <c r="AI26" s="135"/>
      <c r="AJ26" s="135"/>
      <c r="AK26" s="135"/>
      <c r="AL26" s="135"/>
      <c r="AM26" s="135"/>
      <c r="AN26" s="135"/>
      <c r="AO26" s="135"/>
      <c r="AP26" s="135"/>
      <c r="AQ26" s="135"/>
    </row>
    <row r="27" spans="1:43" x14ac:dyDescent="0.25">
      <c r="Z27" s="135"/>
      <c r="AA27" s="135"/>
      <c r="AB27" s="135"/>
      <c r="AC27" s="135"/>
      <c r="AD27" s="135"/>
      <c r="AE27" s="135"/>
      <c r="AF27" s="135"/>
      <c r="AG27" s="135"/>
      <c r="AH27" s="135"/>
      <c r="AI27" s="135"/>
      <c r="AJ27" s="135"/>
      <c r="AK27" s="135"/>
      <c r="AL27" s="135"/>
      <c r="AM27" s="135"/>
      <c r="AN27" s="135"/>
      <c r="AO27" s="135"/>
      <c r="AP27" s="135"/>
      <c r="AQ27" s="135"/>
    </row>
    <row r="28" spans="1:43" x14ac:dyDescent="0.25">
      <c r="Z28" s="135"/>
      <c r="AA28" s="135"/>
      <c r="AB28" s="135"/>
      <c r="AC28" s="135"/>
      <c r="AD28" s="135"/>
      <c r="AE28" s="135"/>
      <c r="AF28" s="135"/>
      <c r="AG28" s="135"/>
      <c r="AH28" s="135"/>
      <c r="AI28" s="135"/>
      <c r="AJ28" s="135"/>
      <c r="AK28" s="135"/>
      <c r="AL28" s="135"/>
      <c r="AM28" s="135"/>
      <c r="AN28" s="135"/>
      <c r="AO28" s="135"/>
      <c r="AP28" s="135"/>
      <c r="AQ28" s="135"/>
    </row>
  </sheetData>
  <sheetProtection algorithmName="SHA-512" hashValue="7q7Lk6o7pKKphrJ7/8UvQzSVezhRAURbtatHMfNKolUwfDGmoOSaf/CJzwkn2UEFAf/GVGl0Fayxll7gyncYwA==" saltValue="OM/gX2IKQbj0gxUCgEsKEA==" spinCount="100000" sheet="1" objects="1" scenarios="1"/>
  <mergeCells count="2">
    <mergeCell ref="F2:I3"/>
    <mergeCell ref="F4:I5"/>
  </mergeCells>
  <conditionalFormatting sqref="G8:G25">
    <cfRule type="dataBar" priority="10">
      <dataBar>
        <cfvo type="num" val="0"/>
        <cfvo type="num" val="4"/>
        <color rgb="FF638EC6"/>
      </dataBar>
      <extLst>
        <ext xmlns:x14="http://schemas.microsoft.com/office/spreadsheetml/2009/9/main" uri="{B025F937-C7B1-47D3-B67F-A62EFF666E3E}">
          <x14:id>{C58BC0C2-9BF5-4655-88B4-D1CECC3A9005}</x14:id>
        </ext>
      </extLst>
    </cfRule>
  </conditionalFormatting>
  <conditionalFormatting sqref="H8:H25">
    <cfRule type="dataBar" priority="9">
      <dataBar>
        <cfvo type="num" val="0"/>
        <cfvo type="num" val="4"/>
        <color rgb="FF00B050"/>
      </dataBar>
      <extLst>
        <ext xmlns:x14="http://schemas.microsoft.com/office/spreadsheetml/2009/9/main" uri="{B025F937-C7B1-47D3-B67F-A62EFF666E3E}">
          <x14:id>{BD425282-56E6-4E14-AA3B-963EC76E6E4B}</x14:id>
        </ext>
      </extLst>
    </cfRule>
  </conditionalFormatting>
  <pageMargins left="0.7" right="0.7" top="0.75" bottom="0.75" header="0.3" footer="0.3"/>
  <pageSetup paperSize="9" scale="73" fitToHeight="0" orientation="landscape" horizontalDpi="4294967293" r:id="rId1"/>
  <drawing r:id="rId2"/>
  <extLst>
    <ext xmlns:x14="http://schemas.microsoft.com/office/spreadsheetml/2009/9/main" uri="{78C0D931-6437-407d-A8EE-F0AAD7539E65}">
      <x14:conditionalFormattings>
        <x14:conditionalFormatting xmlns:xm="http://schemas.microsoft.com/office/excel/2006/main">
          <x14:cfRule type="dataBar" id="{C58BC0C2-9BF5-4655-88B4-D1CECC3A9005}">
            <x14:dataBar minLength="0" maxLength="100" gradient="0">
              <x14:cfvo type="num">
                <xm:f>0</xm:f>
              </x14:cfvo>
              <x14:cfvo type="num">
                <xm:f>4</xm:f>
              </x14:cfvo>
              <x14:negativeFillColor rgb="FFFF0000"/>
              <x14:axisColor rgb="FF000000"/>
            </x14:dataBar>
          </x14:cfRule>
          <xm:sqref>G8:G25</xm:sqref>
        </x14:conditionalFormatting>
        <x14:conditionalFormatting xmlns:xm="http://schemas.microsoft.com/office/excel/2006/main">
          <x14:cfRule type="dataBar" id="{BD425282-56E6-4E14-AA3B-963EC76E6E4B}">
            <x14:dataBar minLength="0" maxLength="100" gradient="0">
              <x14:cfvo type="num">
                <xm:f>0</xm:f>
              </x14:cfvo>
              <x14:cfvo type="num">
                <xm:f>4</xm:f>
              </x14:cfvo>
              <x14:negativeFillColor rgb="FFFF0000"/>
              <x14:axisColor rgb="FF000000"/>
            </x14:dataBar>
          </x14:cfRule>
          <xm:sqref>H8:H25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B1:O30"/>
  <sheetViews>
    <sheetView workbookViewId="0">
      <pane xSplit="1" topLeftCell="B1" activePane="topRight" state="frozen"/>
      <selection pane="topRight" activeCell="C18" sqref="C18"/>
    </sheetView>
  </sheetViews>
  <sheetFormatPr defaultRowHeight="15" x14ac:dyDescent="0.25"/>
  <cols>
    <col min="1" max="1" width="2.7109375" style="10" customWidth="1"/>
    <col min="2" max="2" width="3" style="10" customWidth="1"/>
    <col min="3" max="3" width="30.85546875" style="10" bestFit="1" customWidth="1"/>
    <col min="4" max="4" width="3.28515625" style="10" customWidth="1"/>
    <col min="5" max="5" width="2.7109375" style="10" customWidth="1"/>
    <col min="6" max="6" width="72.5703125" style="10" bestFit="1" customWidth="1"/>
    <col min="7" max="7" width="2.7109375" style="10" customWidth="1"/>
    <col min="8" max="8" width="26.5703125" style="10" bestFit="1" customWidth="1"/>
    <col min="9" max="9" width="2.7109375" style="10" customWidth="1"/>
    <col min="10" max="10" width="33.42578125" style="10" bestFit="1" customWidth="1"/>
    <col min="11" max="11" width="2.7109375" style="10" customWidth="1"/>
    <col min="12" max="12" width="20.140625" style="10" bestFit="1" customWidth="1"/>
    <col min="13" max="13" width="2.7109375" style="10" customWidth="1"/>
    <col min="14" max="14" width="9.140625" style="10"/>
    <col min="15" max="15" width="17.42578125" style="10" customWidth="1"/>
    <col min="16" max="16384" width="9.140625" style="10"/>
  </cols>
  <sheetData>
    <row r="1" spans="2:15" ht="15.75" thickBot="1" x14ac:dyDescent="0.3">
      <c r="L1" s="295"/>
      <c r="M1" s="295"/>
      <c r="N1" s="295"/>
    </row>
    <row r="2" spans="2:15" ht="15.75" thickBot="1" x14ac:dyDescent="0.3">
      <c r="B2" s="316" t="s">
        <v>232</v>
      </c>
      <c r="C2" s="318"/>
      <c r="D2" s="317"/>
      <c r="L2" s="296"/>
      <c r="M2" s="295"/>
      <c r="N2" s="296"/>
    </row>
    <row r="3" spans="2:15" ht="15.75" thickBot="1" x14ac:dyDescent="0.3">
      <c r="B3" s="234"/>
      <c r="C3" s="235" t="s">
        <v>233</v>
      </c>
      <c r="D3" s="234"/>
      <c r="F3" s="262" t="s">
        <v>234</v>
      </c>
      <c r="H3" s="241" t="s">
        <v>235</v>
      </c>
      <c r="J3" s="241" t="s">
        <v>236</v>
      </c>
      <c r="L3" s="241" t="s">
        <v>238</v>
      </c>
      <c r="M3" s="295"/>
      <c r="N3" s="316" t="s">
        <v>237</v>
      </c>
      <c r="O3" s="317"/>
    </row>
    <row r="4" spans="2:15" x14ac:dyDescent="0.25">
      <c r="B4" s="244">
        <v>1</v>
      </c>
      <c r="C4" s="245" t="s">
        <v>2</v>
      </c>
      <c r="D4" s="246" t="str">
        <f>""</f>
        <v/>
      </c>
      <c r="F4" s="234" t="s">
        <v>224</v>
      </c>
      <c r="H4" s="234" t="s">
        <v>224</v>
      </c>
      <c r="I4" s="202"/>
      <c r="J4" s="234" t="s">
        <v>224</v>
      </c>
      <c r="L4" s="263" t="s">
        <v>9</v>
      </c>
      <c r="M4" s="295"/>
      <c r="N4" s="256">
        <v>1</v>
      </c>
      <c r="O4" s="257" t="str">
        <f>L4</f>
        <v>x 1</v>
      </c>
    </row>
    <row r="5" spans="2:15" x14ac:dyDescent="0.25">
      <c r="B5" s="247">
        <v>2</v>
      </c>
      <c r="C5" s="248" t="s">
        <v>160</v>
      </c>
      <c r="D5" s="249">
        <v>0</v>
      </c>
      <c r="F5" s="250" t="s">
        <v>41</v>
      </c>
      <c r="H5" s="250" t="s">
        <v>110</v>
      </c>
      <c r="I5" s="202"/>
      <c r="J5" s="250" t="s">
        <v>114</v>
      </c>
      <c r="L5" s="264" t="s">
        <v>10</v>
      </c>
      <c r="M5" s="295"/>
      <c r="N5" s="258">
        <v>2</v>
      </c>
      <c r="O5" s="259" t="str">
        <f>L5</f>
        <v>x 2</v>
      </c>
    </row>
    <row r="6" spans="2:15" x14ac:dyDescent="0.25">
      <c r="B6" s="247">
        <v>3</v>
      </c>
      <c r="C6" s="248" t="s">
        <v>161</v>
      </c>
      <c r="D6" s="249">
        <v>1</v>
      </c>
      <c r="F6" s="250" t="s">
        <v>42</v>
      </c>
      <c r="H6" s="250" t="s">
        <v>111</v>
      </c>
      <c r="I6" s="202"/>
      <c r="J6" s="250" t="s">
        <v>115</v>
      </c>
      <c r="L6" s="264" t="s">
        <v>11</v>
      </c>
      <c r="M6" s="295"/>
      <c r="N6" s="258">
        <v>3</v>
      </c>
      <c r="O6" s="259" t="str">
        <f>L6</f>
        <v>x 3</v>
      </c>
    </row>
    <row r="7" spans="2:15" x14ac:dyDescent="0.25">
      <c r="B7" s="247">
        <v>4</v>
      </c>
      <c r="C7" s="248" t="s">
        <v>162</v>
      </c>
      <c r="D7" s="249">
        <v>2</v>
      </c>
      <c r="F7" s="250" t="s">
        <v>43</v>
      </c>
      <c r="H7" s="250" t="s">
        <v>112</v>
      </c>
      <c r="J7" s="250" t="s">
        <v>116</v>
      </c>
      <c r="L7" s="264" t="s">
        <v>73</v>
      </c>
      <c r="M7" s="295"/>
      <c r="N7" s="258">
        <v>4</v>
      </c>
      <c r="O7" s="259" t="str">
        <f>L7</f>
        <v>x 4</v>
      </c>
    </row>
    <row r="8" spans="2:15" ht="15.75" thickBot="1" x14ac:dyDescent="0.3">
      <c r="B8" s="247">
        <v>5</v>
      </c>
      <c r="C8" s="248" t="s">
        <v>163</v>
      </c>
      <c r="D8" s="249">
        <v>3</v>
      </c>
      <c r="F8" s="250" t="s">
        <v>44</v>
      </c>
      <c r="H8" s="251" t="s">
        <v>113</v>
      </c>
      <c r="J8" s="250" t="s">
        <v>117</v>
      </c>
      <c r="L8" s="265" t="s">
        <v>74</v>
      </c>
      <c r="M8" s="295"/>
      <c r="N8" s="260">
        <v>5</v>
      </c>
      <c r="O8" s="261" t="str">
        <f>L8</f>
        <v>x 5</v>
      </c>
    </row>
    <row r="9" spans="2:15" ht="15.75" thickBot="1" x14ac:dyDescent="0.3">
      <c r="B9" s="247">
        <v>6</v>
      </c>
      <c r="C9" s="248" t="s">
        <v>164</v>
      </c>
      <c r="D9" s="249">
        <v>4</v>
      </c>
      <c r="F9" s="250" t="s">
        <v>45</v>
      </c>
      <c r="J9" s="251" t="s">
        <v>118</v>
      </c>
      <c r="M9" s="295"/>
    </row>
    <row r="10" spans="2:15" x14ac:dyDescent="0.25">
      <c r="B10" s="247">
        <v>7</v>
      </c>
      <c r="C10" s="248" t="s">
        <v>1</v>
      </c>
      <c r="D10" s="249">
        <v>0</v>
      </c>
      <c r="F10" s="250" t="s">
        <v>46</v>
      </c>
      <c r="M10" s="295"/>
    </row>
    <row r="11" spans="2:15" ht="15.75" thickBot="1" x14ac:dyDescent="0.3">
      <c r="B11" s="252">
        <v>8</v>
      </c>
      <c r="C11" s="253" t="s">
        <v>35</v>
      </c>
      <c r="D11" s="254" t="str">
        <f>""</f>
        <v/>
      </c>
      <c r="F11" s="250" t="s">
        <v>15</v>
      </c>
      <c r="M11" s="295"/>
    </row>
    <row r="12" spans="2:15" x14ac:dyDescent="0.25">
      <c r="F12" s="250" t="s">
        <v>16</v>
      </c>
      <c r="M12" s="295"/>
    </row>
    <row r="13" spans="2:15" x14ac:dyDescent="0.25">
      <c r="F13" s="250" t="s">
        <v>17</v>
      </c>
      <c r="M13" s="295"/>
    </row>
    <row r="14" spans="2:15" x14ac:dyDescent="0.25">
      <c r="F14" s="250" t="s">
        <v>18</v>
      </c>
      <c r="M14" s="295"/>
    </row>
    <row r="15" spans="2:15" x14ac:dyDescent="0.25">
      <c r="F15" s="250" t="s">
        <v>19</v>
      </c>
    </row>
    <row r="16" spans="2:15" x14ac:dyDescent="0.25">
      <c r="F16" s="250" t="s">
        <v>20</v>
      </c>
    </row>
    <row r="17" spans="6:6" x14ac:dyDescent="0.25">
      <c r="F17" s="250" t="s">
        <v>21</v>
      </c>
    </row>
    <row r="18" spans="6:6" x14ac:dyDescent="0.25">
      <c r="F18" s="250" t="s">
        <v>22</v>
      </c>
    </row>
    <row r="19" spans="6:6" x14ac:dyDescent="0.25">
      <c r="F19" s="250" t="s">
        <v>23</v>
      </c>
    </row>
    <row r="20" spans="6:6" x14ac:dyDescent="0.25">
      <c r="F20" s="250" t="s">
        <v>24</v>
      </c>
    </row>
    <row r="21" spans="6:6" x14ac:dyDescent="0.25">
      <c r="F21" s="250" t="s">
        <v>25</v>
      </c>
    </row>
    <row r="22" spans="6:6" x14ac:dyDescent="0.25">
      <c r="F22" s="250" t="s">
        <v>26</v>
      </c>
    </row>
    <row r="23" spans="6:6" x14ac:dyDescent="0.25">
      <c r="F23" s="250" t="s">
        <v>27</v>
      </c>
    </row>
    <row r="24" spans="6:6" x14ac:dyDescent="0.25">
      <c r="F24" s="250" t="s">
        <v>28</v>
      </c>
    </row>
    <row r="25" spans="6:6" x14ac:dyDescent="0.25">
      <c r="F25" s="250" t="s">
        <v>29</v>
      </c>
    </row>
    <row r="26" spans="6:6" x14ac:dyDescent="0.25">
      <c r="F26" s="250" t="s">
        <v>30</v>
      </c>
    </row>
    <row r="27" spans="6:6" x14ac:dyDescent="0.25">
      <c r="F27" s="250" t="s">
        <v>31</v>
      </c>
    </row>
    <row r="28" spans="6:6" x14ac:dyDescent="0.25">
      <c r="F28" s="250" t="s">
        <v>32</v>
      </c>
    </row>
    <row r="29" spans="6:6" x14ac:dyDescent="0.25">
      <c r="F29" s="250" t="s">
        <v>33</v>
      </c>
    </row>
    <row r="30" spans="6:6" ht="15.75" thickBot="1" x14ac:dyDescent="0.3">
      <c r="F30" s="251" t="s">
        <v>34</v>
      </c>
    </row>
  </sheetData>
  <sheetProtection algorithmName="SHA-512" hashValue="qxmU2sYq41Y6tjYi4o9r+KvS5KLtDzzEd6xWKyWP1k7Pg4zMZNpIyXMQbTP32IR/auaMmcm51HDSrXzLu4/xZA==" saltValue="VKfwdAGvFdLihH3xPKL4lg==" spinCount="100000" sheet="1" objects="1" scenarios="1"/>
  <mergeCells count="2">
    <mergeCell ref="N3:O3"/>
    <mergeCell ref="B2:D2"/>
  </mergeCells>
  <pageMargins left="0.7" right="0.7" top="0.75" bottom="0.75" header="0.3" footer="0.3"/>
  <pageSetup paperSize="9"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AD30"/>
  <sheetViews>
    <sheetView topLeftCell="F1" workbookViewId="0">
      <selection activeCell="U8" sqref="U8"/>
    </sheetView>
  </sheetViews>
  <sheetFormatPr defaultRowHeight="15" x14ac:dyDescent="0.25"/>
  <cols>
    <col min="1" max="9" width="9.140625" style="13"/>
    <col min="10" max="10" width="9.140625" style="20"/>
    <col min="11" max="13" width="9.140625" style="13"/>
    <col min="14" max="19" width="9.140625" style="242"/>
    <col min="20" max="22" width="9.140625" style="13"/>
    <col min="23" max="27" width="9.140625" style="242"/>
    <col min="28" max="28" width="10.7109375" style="242" customWidth="1"/>
    <col min="30" max="30" width="48.28515625" bestFit="1" customWidth="1"/>
  </cols>
  <sheetData>
    <row r="1" spans="1:30" s="13" customFormat="1" ht="15.75" thickBot="1" x14ac:dyDescent="0.3">
      <c r="A1" s="316" t="s">
        <v>241</v>
      </c>
      <c r="B1" s="318"/>
      <c r="C1" s="318"/>
      <c r="D1" s="318"/>
      <c r="E1" s="318"/>
      <c r="F1" s="317"/>
      <c r="J1" s="20"/>
      <c r="N1" s="242"/>
      <c r="O1" s="242"/>
      <c r="P1" s="242"/>
      <c r="Q1" s="319" t="s">
        <v>239</v>
      </c>
      <c r="R1" s="320"/>
      <c r="S1" s="321"/>
      <c r="W1" s="242"/>
      <c r="X1" s="242"/>
      <c r="Y1" s="242"/>
      <c r="Z1" s="242"/>
      <c r="AA1" s="242"/>
      <c r="AB1" s="316" t="s">
        <v>240</v>
      </c>
      <c r="AC1" s="318"/>
      <c r="AD1" s="317"/>
    </row>
    <row r="2" spans="1:30" ht="15.75" thickBot="1" x14ac:dyDescent="0.3">
      <c r="A2" s="276" t="s">
        <v>14</v>
      </c>
      <c r="B2" s="277"/>
      <c r="C2" s="277"/>
      <c r="D2" s="277"/>
      <c r="E2" s="277"/>
      <c r="F2" s="278"/>
      <c r="L2" s="266" t="str">
        <f>IF(SUMIF(N:N,H2,U:U)=0,"",SUMIF(N:N,H2,U:U)/(MAX(T:T)*COUNTIF(N:N,H2)))</f>
        <v/>
      </c>
      <c r="M2" s="266" t="str">
        <f>IF(ISERROR(L2),"",L2)</f>
        <v/>
      </c>
      <c r="N2" s="242" t="s">
        <v>90</v>
      </c>
      <c r="O2" s="242">
        <v>1</v>
      </c>
      <c r="P2" s="242">
        <v>1</v>
      </c>
      <c r="Q2" s="267" t="str">
        <f>N2&amp;"."&amp;O2</f>
        <v>A.1</v>
      </c>
      <c r="R2" s="268">
        <f ca="1">VLOOKUP(Q2,INDIRECT("Results_"&amp;N2&amp;"_Reference"),16,FALSE)</f>
        <v>1</v>
      </c>
      <c r="S2" s="269">
        <f ca="1">VLOOKUP(Q2,INDIRECT("Results_"&amp;N2&amp;"_Reference"),17,FALSE)</f>
        <v>0</v>
      </c>
      <c r="W2" s="271">
        <v>1</v>
      </c>
      <c r="X2" s="242">
        <v>1</v>
      </c>
      <c r="Y2" s="242" t="str">
        <f t="shared" ref="Y2:Y25" si="0">VLOOKUP(W2,contentrefmockup,3,FALSE)</f>
        <v>A</v>
      </c>
      <c r="Z2" s="242">
        <f t="shared" ref="Z2:Z25" si="1">VLOOKUP(W2,contentrefmockup,4,FALSE)</f>
        <v>0</v>
      </c>
      <c r="AB2" s="267" t="str">
        <f>IF(X2=1,Y2,Y2&amp;"."&amp;Z2)</f>
        <v>A</v>
      </c>
      <c r="AC2" s="236" t="str">
        <f t="shared" ref="AC2:AC26" si="2">VLOOKUP(X2,Content_Headings,2,FALSE)&amp;" "&amp;IF(Z2=0,Y2,Z2)</f>
        <v>Stage A</v>
      </c>
      <c r="AD2" s="237" t="str">
        <f t="shared" ref="AD2:AD25" si="3">VLOOKUP(W2,contentrefmockup,7,FALSE)</f>
        <v>Preparation</v>
      </c>
    </row>
    <row r="3" spans="1:30" x14ac:dyDescent="0.25">
      <c r="L3" s="266" t="str">
        <f>IF(SUMIF(N:N,H3,U:U)=0,"",SUMIF(N:N,H3,U:U)/(MAX(T:T)*COUNTIF(N:N,H3)))</f>
        <v/>
      </c>
      <c r="M3" s="266" t="str">
        <f>IF(ISERROR(L3),"",L3)</f>
        <v/>
      </c>
      <c r="N3" s="242" t="s">
        <v>90</v>
      </c>
      <c r="O3" s="242">
        <v>2</v>
      </c>
      <c r="P3" s="242">
        <v>2</v>
      </c>
      <c r="Q3" s="270" t="str">
        <f t="shared" ref="Q3:Q12" si="4">N3&amp;"."&amp;O3</f>
        <v>A.2</v>
      </c>
      <c r="R3" s="271">
        <f t="shared" ref="R3:R23" ca="1" si="5">VLOOKUP(Q3,INDIRECT("Results_"&amp;N3&amp;"_Reference"),16,FALSE)</f>
        <v>1</v>
      </c>
      <c r="S3" s="272">
        <f t="shared" ref="S3:S23" ca="1" si="6">VLOOKUP(Q3,INDIRECT("Results_"&amp;N3&amp;"_Reference"),17,FALSE)</f>
        <v>0</v>
      </c>
      <c r="W3" s="271">
        <v>2</v>
      </c>
      <c r="X3" s="242">
        <v>2</v>
      </c>
      <c r="Y3" s="242" t="str">
        <f t="shared" si="0"/>
        <v>A</v>
      </c>
      <c r="Z3" s="242">
        <f t="shared" si="1"/>
        <v>1</v>
      </c>
      <c r="AB3" s="270" t="str">
        <f t="shared" ref="AB3:AB15" si="7">IF(X3=1,Y3,Y3&amp;"."&amp;Z3)</f>
        <v>A.1</v>
      </c>
      <c r="AC3" s="20" t="str">
        <f t="shared" si="2"/>
        <v>Step 1</v>
      </c>
      <c r="AD3" s="238" t="str">
        <f t="shared" si="3"/>
        <v>Maintain a technical security assurance framework</v>
      </c>
    </row>
    <row r="4" spans="1:30" x14ac:dyDescent="0.25">
      <c r="L4" s="266" t="str">
        <f>IF(SUMIF(N:N,H4,U:U)=0,"",SUMIF(N:N,H4,U:U)/(MAX(T:T)*COUNTIF(N:N,H4)))</f>
        <v/>
      </c>
      <c r="M4" s="266" t="str">
        <f>IF(ISERROR(L4),"",L4)</f>
        <v/>
      </c>
      <c r="N4" s="242" t="s">
        <v>90</v>
      </c>
      <c r="O4" s="242">
        <v>3</v>
      </c>
      <c r="P4" s="242">
        <v>3</v>
      </c>
      <c r="Q4" s="270" t="str">
        <f t="shared" si="4"/>
        <v>A.3</v>
      </c>
      <c r="R4" s="271">
        <f t="shared" ca="1" si="5"/>
        <v>1</v>
      </c>
      <c r="S4" s="272">
        <f t="shared" ca="1" si="6"/>
        <v>0</v>
      </c>
      <c r="W4" s="271">
        <v>5</v>
      </c>
      <c r="X4" s="242">
        <v>2</v>
      </c>
      <c r="Y4" s="242" t="str">
        <f t="shared" si="0"/>
        <v>A</v>
      </c>
      <c r="Z4" s="242">
        <f t="shared" si="1"/>
        <v>2</v>
      </c>
      <c r="AB4" s="270" t="str">
        <f t="shared" si="7"/>
        <v>A.2</v>
      </c>
      <c r="AC4" s="20" t="str">
        <f t="shared" si="2"/>
        <v>Step 2</v>
      </c>
      <c r="AD4" s="238" t="str">
        <f t="shared" si="3"/>
        <v>Establish a penetration testing governance structure</v>
      </c>
    </row>
    <row r="5" spans="1:30" x14ac:dyDescent="0.25">
      <c r="N5" s="242" t="s">
        <v>90</v>
      </c>
      <c r="O5" s="242">
        <v>4</v>
      </c>
      <c r="P5" s="242">
        <v>4</v>
      </c>
      <c r="Q5" s="270" t="str">
        <f t="shared" si="4"/>
        <v>A.4</v>
      </c>
      <c r="R5" s="271">
        <f t="shared" ca="1" si="5"/>
        <v>1</v>
      </c>
      <c r="S5" s="272">
        <f t="shared" ca="1" si="6"/>
        <v>0</v>
      </c>
      <c r="W5" s="271">
        <v>8</v>
      </c>
      <c r="X5" s="242">
        <v>2</v>
      </c>
      <c r="Y5" s="242" t="str">
        <f t="shared" si="0"/>
        <v>A</v>
      </c>
      <c r="Z5" s="242">
        <f t="shared" si="1"/>
        <v>3</v>
      </c>
      <c r="AB5" s="270" t="str">
        <f t="shared" si="7"/>
        <v>A.3</v>
      </c>
      <c r="AC5" s="20" t="str">
        <f t="shared" si="2"/>
        <v>Step 3</v>
      </c>
      <c r="AD5" s="238" t="str">
        <f t="shared" si="3"/>
        <v>Evaluate drivers for conducting penetration tests</v>
      </c>
    </row>
    <row r="6" spans="1:30" x14ac:dyDescent="0.25">
      <c r="N6" s="242" t="s">
        <v>90</v>
      </c>
      <c r="O6" s="242">
        <v>5</v>
      </c>
      <c r="P6" s="242">
        <v>5</v>
      </c>
      <c r="Q6" s="270" t="str">
        <f t="shared" si="4"/>
        <v>A.5</v>
      </c>
      <c r="R6" s="271">
        <f t="shared" ca="1" si="5"/>
        <v>1</v>
      </c>
      <c r="S6" s="272">
        <f t="shared" ca="1" si="6"/>
        <v>0</v>
      </c>
      <c r="W6" s="271">
        <v>11</v>
      </c>
      <c r="X6" s="242">
        <v>2</v>
      </c>
      <c r="Y6" s="242" t="str">
        <f t="shared" si="0"/>
        <v>A</v>
      </c>
      <c r="Z6" s="242">
        <f t="shared" si="1"/>
        <v>4</v>
      </c>
      <c r="AB6" s="270" t="str">
        <f t="shared" si="7"/>
        <v>A.4</v>
      </c>
      <c r="AC6" s="20" t="str">
        <f t="shared" si="2"/>
        <v>Step 4</v>
      </c>
      <c r="AD6" s="238" t="str">
        <f t="shared" si="3"/>
        <v>Identify target environments</v>
      </c>
    </row>
    <row r="7" spans="1:30" x14ac:dyDescent="0.25">
      <c r="N7" s="242" t="s">
        <v>90</v>
      </c>
      <c r="O7" s="242">
        <v>6</v>
      </c>
      <c r="P7" s="242">
        <v>6</v>
      </c>
      <c r="Q7" s="270" t="str">
        <f t="shared" si="4"/>
        <v>A.6</v>
      </c>
      <c r="R7" s="271">
        <f t="shared" ca="1" si="5"/>
        <v>1</v>
      </c>
      <c r="S7" s="272">
        <f t="shared" ca="1" si="6"/>
        <v>0</v>
      </c>
      <c r="W7" s="271">
        <v>14</v>
      </c>
      <c r="X7" s="242">
        <v>2</v>
      </c>
      <c r="Y7" s="242" t="str">
        <f t="shared" si="0"/>
        <v>A</v>
      </c>
      <c r="Z7" s="242">
        <f t="shared" si="1"/>
        <v>5</v>
      </c>
      <c r="AB7" s="270" t="str">
        <f t="shared" si="7"/>
        <v>A.5</v>
      </c>
      <c r="AC7" s="20" t="str">
        <f t="shared" si="2"/>
        <v>Step 5</v>
      </c>
      <c r="AD7" s="238" t="str">
        <f t="shared" si="3"/>
        <v>Define the purpose of the penetration tests</v>
      </c>
    </row>
    <row r="8" spans="1:30" x14ac:dyDescent="0.25">
      <c r="N8" s="242" t="s">
        <v>90</v>
      </c>
      <c r="O8" s="242">
        <v>7</v>
      </c>
      <c r="P8" s="242">
        <v>7</v>
      </c>
      <c r="Q8" s="270" t="str">
        <f t="shared" si="4"/>
        <v>A.7</v>
      </c>
      <c r="R8" s="271">
        <f t="shared" ca="1" si="5"/>
        <v>1</v>
      </c>
      <c r="S8" s="272">
        <f t="shared" ca="1" si="6"/>
        <v>0</v>
      </c>
      <c r="W8" s="271">
        <v>17</v>
      </c>
      <c r="X8" s="242">
        <v>2</v>
      </c>
      <c r="Y8" s="242" t="str">
        <f t="shared" si="0"/>
        <v>A</v>
      </c>
      <c r="Z8" s="242">
        <f t="shared" si="1"/>
        <v>6</v>
      </c>
      <c r="AB8" s="270" t="str">
        <f t="shared" si="7"/>
        <v>A.6</v>
      </c>
      <c r="AC8" s="20" t="str">
        <f t="shared" si="2"/>
        <v>Step 6</v>
      </c>
      <c r="AD8" s="238" t="str">
        <f t="shared" si="3"/>
        <v>Produce requirements specifications</v>
      </c>
    </row>
    <row r="9" spans="1:30" x14ac:dyDescent="0.25">
      <c r="N9" s="242" t="s">
        <v>91</v>
      </c>
      <c r="O9" s="242">
        <v>1</v>
      </c>
      <c r="P9" s="242">
        <v>8</v>
      </c>
      <c r="Q9" s="270" t="str">
        <f t="shared" si="4"/>
        <v>B.1</v>
      </c>
      <c r="R9" s="271">
        <f t="shared" ca="1" si="5"/>
        <v>1</v>
      </c>
      <c r="S9" s="272">
        <f t="shared" ca="1" si="6"/>
        <v>0</v>
      </c>
      <c r="W9" s="271">
        <v>20</v>
      </c>
      <c r="X9" s="242">
        <v>2</v>
      </c>
      <c r="Y9" s="242" t="str">
        <f t="shared" si="0"/>
        <v>A</v>
      </c>
      <c r="Z9" s="242">
        <f t="shared" si="1"/>
        <v>7</v>
      </c>
      <c r="AB9" s="270" t="str">
        <f t="shared" si="7"/>
        <v>A.7</v>
      </c>
      <c r="AC9" s="20" t="str">
        <f t="shared" si="2"/>
        <v>Step 7</v>
      </c>
      <c r="AD9" s="238" t="str">
        <f t="shared" si="3"/>
        <v>Select suitable suppliers</v>
      </c>
    </row>
    <row r="10" spans="1:30" x14ac:dyDescent="0.25">
      <c r="N10" s="242" t="s">
        <v>91</v>
      </c>
      <c r="O10" s="242">
        <v>2</v>
      </c>
      <c r="P10" s="242">
        <v>9</v>
      </c>
      <c r="Q10" s="270" t="str">
        <f t="shared" si="4"/>
        <v>B.2</v>
      </c>
      <c r="R10" s="271">
        <f t="shared" ca="1" si="5"/>
        <v>1</v>
      </c>
      <c r="S10" s="272">
        <f t="shared" ca="1" si="6"/>
        <v>0</v>
      </c>
      <c r="W10" s="271">
        <v>23</v>
      </c>
      <c r="X10" s="242">
        <v>1</v>
      </c>
      <c r="Y10" s="242" t="str">
        <f t="shared" si="0"/>
        <v>B</v>
      </c>
      <c r="Z10" s="242">
        <f t="shared" si="1"/>
        <v>0</v>
      </c>
      <c r="AB10" s="270" t="str">
        <f t="shared" si="7"/>
        <v>B</v>
      </c>
      <c r="AC10" s="20" t="str">
        <f t="shared" si="2"/>
        <v>Stage B</v>
      </c>
      <c r="AD10" s="238" t="str">
        <f t="shared" si="3"/>
        <v>Testing</v>
      </c>
    </row>
    <row r="11" spans="1:30" x14ac:dyDescent="0.25">
      <c r="N11" s="242" t="s">
        <v>91</v>
      </c>
      <c r="O11" s="242">
        <v>3</v>
      </c>
      <c r="P11" s="242">
        <v>10</v>
      </c>
      <c r="Q11" s="270" t="str">
        <f t="shared" si="4"/>
        <v>B.3</v>
      </c>
      <c r="R11" s="271">
        <f t="shared" ca="1" si="5"/>
        <v>1</v>
      </c>
      <c r="S11" s="272">
        <f t="shared" ca="1" si="6"/>
        <v>0</v>
      </c>
      <c r="W11" s="271">
        <v>24</v>
      </c>
      <c r="X11" s="242">
        <v>2</v>
      </c>
      <c r="Y11" s="242" t="str">
        <f t="shared" si="0"/>
        <v>B</v>
      </c>
      <c r="Z11" s="242">
        <f t="shared" si="1"/>
        <v>1</v>
      </c>
      <c r="AB11" s="270" t="str">
        <f t="shared" si="7"/>
        <v>B.1</v>
      </c>
      <c r="AC11" s="20" t="str">
        <f t="shared" si="2"/>
        <v>Step 1</v>
      </c>
      <c r="AD11" s="238" t="str">
        <f t="shared" si="3"/>
        <v>Agree testing style and type</v>
      </c>
    </row>
    <row r="12" spans="1:30" x14ac:dyDescent="0.25">
      <c r="N12" s="242" t="s">
        <v>91</v>
      </c>
      <c r="O12" s="242">
        <v>4</v>
      </c>
      <c r="P12" s="242">
        <v>11</v>
      </c>
      <c r="Q12" s="270" t="str">
        <f t="shared" si="4"/>
        <v>B.4</v>
      </c>
      <c r="R12" s="271">
        <f t="shared" ca="1" si="5"/>
        <v>1</v>
      </c>
      <c r="S12" s="272">
        <f t="shared" ca="1" si="6"/>
        <v>0</v>
      </c>
      <c r="W12" s="271">
        <v>27</v>
      </c>
      <c r="X12" s="242">
        <v>2</v>
      </c>
      <c r="Y12" s="242" t="str">
        <f t="shared" si="0"/>
        <v>B</v>
      </c>
      <c r="Z12" s="242">
        <f t="shared" si="1"/>
        <v>2</v>
      </c>
      <c r="AB12" s="270" t="str">
        <f t="shared" si="7"/>
        <v>B.2</v>
      </c>
      <c r="AC12" s="20" t="str">
        <f t="shared" si="2"/>
        <v>Step 2</v>
      </c>
      <c r="AD12" s="238" t="str">
        <f t="shared" si="3"/>
        <v>Identify testing constraints</v>
      </c>
    </row>
    <row r="13" spans="1:30" x14ac:dyDescent="0.25">
      <c r="N13" s="242" t="s">
        <v>91</v>
      </c>
      <c r="O13" s="242">
        <v>5</v>
      </c>
      <c r="P13" s="242">
        <v>12</v>
      </c>
      <c r="Q13" s="270" t="str">
        <f t="shared" ref="Q13:Q23" si="8">N13&amp;"."&amp;O13</f>
        <v>B.5</v>
      </c>
      <c r="R13" s="271">
        <f t="shared" ca="1" si="5"/>
        <v>1</v>
      </c>
      <c r="S13" s="272">
        <f t="shared" ca="1" si="6"/>
        <v>0</v>
      </c>
      <c r="W13" s="271">
        <v>30</v>
      </c>
      <c r="X13" s="242">
        <v>2</v>
      </c>
      <c r="Y13" s="242" t="str">
        <f t="shared" si="0"/>
        <v>B</v>
      </c>
      <c r="Z13" s="242">
        <f t="shared" si="1"/>
        <v>3</v>
      </c>
      <c r="AB13" s="270" t="str">
        <f t="shared" si="7"/>
        <v>B.3</v>
      </c>
      <c r="AC13" s="20" t="str">
        <f t="shared" si="2"/>
        <v>Step 3</v>
      </c>
      <c r="AD13" s="238" t="str">
        <f t="shared" si="3"/>
        <v>Produce scope statements</v>
      </c>
    </row>
    <row r="14" spans="1:30" x14ac:dyDescent="0.25">
      <c r="N14" s="242" t="s">
        <v>91</v>
      </c>
      <c r="O14" s="242">
        <v>6</v>
      </c>
      <c r="P14" s="242">
        <v>13</v>
      </c>
      <c r="Q14" s="270" t="str">
        <f t="shared" si="8"/>
        <v>B.6</v>
      </c>
      <c r="R14" s="271">
        <f t="shared" ca="1" si="5"/>
        <v>1</v>
      </c>
      <c r="S14" s="272">
        <f t="shared" ca="1" si="6"/>
        <v>0</v>
      </c>
      <c r="W14" s="271">
        <v>33</v>
      </c>
      <c r="X14" s="242">
        <v>2</v>
      </c>
      <c r="Y14" s="242" t="str">
        <f t="shared" si="0"/>
        <v>B</v>
      </c>
      <c r="Z14" s="242">
        <f t="shared" si="1"/>
        <v>4</v>
      </c>
      <c r="AB14" s="270" t="str">
        <f t="shared" si="7"/>
        <v>B.4</v>
      </c>
      <c r="AC14" s="20" t="str">
        <f t="shared" si="2"/>
        <v>Step 4</v>
      </c>
      <c r="AD14" s="238" t="str">
        <f t="shared" si="3"/>
        <v>Establish a management assurance framework</v>
      </c>
    </row>
    <row r="15" spans="1:30" x14ac:dyDescent="0.25">
      <c r="N15" s="242" t="s">
        <v>91</v>
      </c>
      <c r="O15" s="242">
        <v>7</v>
      </c>
      <c r="P15" s="242">
        <v>14</v>
      </c>
      <c r="Q15" s="270" t="str">
        <f t="shared" si="8"/>
        <v>B.7</v>
      </c>
      <c r="R15" s="271">
        <f t="shared" ca="1" si="5"/>
        <v>1</v>
      </c>
      <c r="S15" s="272">
        <f t="shared" ca="1" si="6"/>
        <v>0</v>
      </c>
      <c r="W15" s="271">
        <v>37</v>
      </c>
      <c r="X15" s="242">
        <v>2</v>
      </c>
      <c r="Y15" s="242" t="str">
        <f t="shared" si="0"/>
        <v>B</v>
      </c>
      <c r="Z15" s="242">
        <f t="shared" si="1"/>
        <v>5</v>
      </c>
      <c r="AB15" s="270" t="str">
        <f t="shared" si="7"/>
        <v>B.5</v>
      </c>
      <c r="AC15" s="20" t="str">
        <f t="shared" si="2"/>
        <v>Step 5</v>
      </c>
      <c r="AD15" s="238" t="str">
        <f t="shared" si="3"/>
        <v>Implement management control processes</v>
      </c>
    </row>
    <row r="16" spans="1:30" x14ac:dyDescent="0.25">
      <c r="N16" s="242" t="s">
        <v>91</v>
      </c>
      <c r="O16" s="242">
        <v>8</v>
      </c>
      <c r="P16" s="242">
        <v>15</v>
      </c>
      <c r="Q16" s="270" t="str">
        <f t="shared" si="8"/>
        <v>B.8</v>
      </c>
      <c r="R16" s="271">
        <f t="shared" ca="1" si="5"/>
        <v>1</v>
      </c>
      <c r="S16" s="272">
        <f t="shared" ca="1" si="6"/>
        <v>0</v>
      </c>
      <c r="W16" s="271">
        <v>40</v>
      </c>
      <c r="X16" s="242">
        <v>2</v>
      </c>
      <c r="Y16" s="242" t="str">
        <f t="shared" si="0"/>
        <v>B</v>
      </c>
      <c r="Z16" s="242">
        <f t="shared" si="1"/>
        <v>6</v>
      </c>
      <c r="AB16" s="270" t="str">
        <f t="shared" ref="AB16:AB25" si="9">IF(X16=1,Y16,Y16&amp;"."&amp;Z16)</f>
        <v>B.6</v>
      </c>
      <c r="AC16" s="20" t="str">
        <f t="shared" si="2"/>
        <v>Step 6</v>
      </c>
      <c r="AD16" s="238" t="str">
        <f t="shared" si="3"/>
        <v>Use an effective testing methodology</v>
      </c>
    </row>
    <row r="17" spans="14:30" x14ac:dyDescent="0.25">
      <c r="N17" s="242" t="s">
        <v>91</v>
      </c>
      <c r="O17" s="242">
        <v>9</v>
      </c>
      <c r="P17" s="242">
        <v>16</v>
      </c>
      <c r="Q17" s="270" t="str">
        <f t="shared" si="8"/>
        <v>B.9</v>
      </c>
      <c r="R17" s="271">
        <f t="shared" ca="1" si="5"/>
        <v>1</v>
      </c>
      <c r="S17" s="272">
        <f t="shared" ca="1" si="6"/>
        <v>0</v>
      </c>
      <c r="W17" s="271">
        <v>43</v>
      </c>
      <c r="X17" s="242">
        <v>2</v>
      </c>
      <c r="Y17" s="242" t="str">
        <f t="shared" si="0"/>
        <v>B</v>
      </c>
      <c r="Z17" s="242">
        <f t="shared" si="1"/>
        <v>7</v>
      </c>
      <c r="AB17" s="270" t="str">
        <f t="shared" si="9"/>
        <v>B.7</v>
      </c>
      <c r="AC17" s="20" t="str">
        <f t="shared" si="2"/>
        <v>Step 7</v>
      </c>
      <c r="AD17" s="238" t="str">
        <f t="shared" si="3"/>
        <v>Conduct sufficient research and planning</v>
      </c>
    </row>
    <row r="18" spans="14:30" x14ac:dyDescent="0.25">
      <c r="N18" s="242" t="s">
        <v>92</v>
      </c>
      <c r="O18" s="242">
        <v>1</v>
      </c>
      <c r="P18" s="242">
        <v>17</v>
      </c>
      <c r="Q18" s="270" t="str">
        <f t="shared" si="8"/>
        <v>C.1</v>
      </c>
      <c r="R18" s="271">
        <f t="shared" ca="1" si="5"/>
        <v>1</v>
      </c>
      <c r="S18" s="272">
        <f t="shared" ca="1" si="6"/>
        <v>0</v>
      </c>
      <c r="W18" s="271">
        <v>46</v>
      </c>
      <c r="X18" s="242">
        <v>2</v>
      </c>
      <c r="Y18" s="242" t="str">
        <f t="shared" si="0"/>
        <v>B</v>
      </c>
      <c r="Z18" s="242">
        <f t="shared" si="1"/>
        <v>8</v>
      </c>
      <c r="AB18" s="270" t="str">
        <f t="shared" si="9"/>
        <v>B.8</v>
      </c>
      <c r="AC18" s="20" t="str">
        <f t="shared" si="2"/>
        <v>Step 8</v>
      </c>
      <c r="AD18" s="238" t="str">
        <f t="shared" si="3"/>
        <v>Identify and exploit vulnerabilities</v>
      </c>
    </row>
    <row r="19" spans="14:30" x14ac:dyDescent="0.25">
      <c r="N19" s="242" t="s">
        <v>92</v>
      </c>
      <c r="O19" s="242">
        <v>2</v>
      </c>
      <c r="P19" s="242">
        <v>18</v>
      </c>
      <c r="Q19" s="270" t="str">
        <f t="shared" si="8"/>
        <v>C.2</v>
      </c>
      <c r="R19" s="271">
        <f t="shared" ca="1" si="5"/>
        <v>1</v>
      </c>
      <c r="S19" s="272">
        <f t="shared" ca="1" si="6"/>
        <v>0</v>
      </c>
      <c r="W19" s="271">
        <v>49</v>
      </c>
      <c r="X19" s="242">
        <v>2</v>
      </c>
      <c r="Y19" s="242" t="str">
        <f t="shared" si="0"/>
        <v>B</v>
      </c>
      <c r="Z19" s="242">
        <f t="shared" si="1"/>
        <v>9</v>
      </c>
      <c r="AB19" s="270" t="str">
        <f t="shared" si="9"/>
        <v>B.9</v>
      </c>
      <c r="AC19" s="20" t="str">
        <f t="shared" si="2"/>
        <v>Step 9</v>
      </c>
      <c r="AD19" s="238" t="str">
        <f t="shared" si="3"/>
        <v>Report key findings</v>
      </c>
    </row>
    <row r="20" spans="14:30" x14ac:dyDescent="0.25">
      <c r="N20" s="242" t="s">
        <v>92</v>
      </c>
      <c r="O20" s="242">
        <v>3</v>
      </c>
      <c r="P20" s="242">
        <v>19</v>
      </c>
      <c r="Q20" s="270" t="str">
        <f t="shared" si="8"/>
        <v>C.3</v>
      </c>
      <c r="R20" s="271">
        <f t="shared" ca="1" si="5"/>
        <v>1</v>
      </c>
      <c r="S20" s="272">
        <f t="shared" ca="1" si="6"/>
        <v>0</v>
      </c>
      <c r="W20" s="242">
        <v>52</v>
      </c>
      <c r="X20" s="242">
        <v>1</v>
      </c>
      <c r="Y20" s="242" t="str">
        <f t="shared" si="0"/>
        <v>C</v>
      </c>
      <c r="Z20" s="242">
        <f t="shared" si="1"/>
        <v>0</v>
      </c>
      <c r="AB20" s="270" t="str">
        <f t="shared" si="9"/>
        <v>C</v>
      </c>
      <c r="AC20" s="20" t="str">
        <f t="shared" si="2"/>
        <v>Stage C</v>
      </c>
      <c r="AD20" s="238" t="str">
        <f t="shared" si="3"/>
        <v>Follow up</v>
      </c>
    </row>
    <row r="21" spans="14:30" x14ac:dyDescent="0.25">
      <c r="N21" s="242" t="s">
        <v>92</v>
      </c>
      <c r="O21" s="242">
        <v>4</v>
      </c>
      <c r="P21" s="242">
        <v>20</v>
      </c>
      <c r="Q21" s="270" t="str">
        <f t="shared" si="8"/>
        <v>C.4</v>
      </c>
      <c r="R21" s="271">
        <f t="shared" ca="1" si="5"/>
        <v>1</v>
      </c>
      <c r="S21" s="272">
        <f t="shared" ca="1" si="6"/>
        <v>0</v>
      </c>
      <c r="W21" s="242">
        <v>53</v>
      </c>
      <c r="X21" s="242">
        <v>2</v>
      </c>
      <c r="Y21" s="242" t="str">
        <f t="shared" si="0"/>
        <v>C</v>
      </c>
      <c r="Z21" s="242">
        <f t="shared" si="1"/>
        <v>1</v>
      </c>
      <c r="AB21" s="270" t="str">
        <f t="shared" si="9"/>
        <v>C.1</v>
      </c>
      <c r="AC21" s="20" t="str">
        <f t="shared" si="2"/>
        <v>Step 1</v>
      </c>
      <c r="AD21" s="238" t="str">
        <f t="shared" si="3"/>
        <v>Remediate weaknesses</v>
      </c>
    </row>
    <row r="22" spans="14:30" x14ac:dyDescent="0.25">
      <c r="N22" s="242" t="s">
        <v>92</v>
      </c>
      <c r="O22" s="242">
        <v>5</v>
      </c>
      <c r="P22" s="242">
        <v>21</v>
      </c>
      <c r="Q22" s="270" t="str">
        <f t="shared" si="8"/>
        <v>C.5</v>
      </c>
      <c r="R22" s="271">
        <f t="shared" ca="1" si="5"/>
        <v>1</v>
      </c>
      <c r="S22" s="272">
        <f t="shared" ca="1" si="6"/>
        <v>0</v>
      </c>
      <c r="W22" s="242">
        <v>56</v>
      </c>
      <c r="X22" s="242">
        <v>2</v>
      </c>
      <c r="Y22" s="242" t="str">
        <f t="shared" si="0"/>
        <v>C</v>
      </c>
      <c r="Z22" s="242">
        <f t="shared" si="1"/>
        <v>2</v>
      </c>
      <c r="AB22" s="270" t="str">
        <f t="shared" si="9"/>
        <v>C.2</v>
      </c>
      <c r="AC22" s="20" t="str">
        <f t="shared" si="2"/>
        <v>Step 2</v>
      </c>
      <c r="AD22" s="238" t="str">
        <f t="shared" si="3"/>
        <v>Address root causes of weaknesses</v>
      </c>
    </row>
    <row r="23" spans="14:30" ht="15.75" thickBot="1" x14ac:dyDescent="0.3">
      <c r="N23" s="242" t="s">
        <v>92</v>
      </c>
      <c r="O23" s="242">
        <v>6</v>
      </c>
      <c r="P23" s="242">
        <v>22</v>
      </c>
      <c r="Q23" s="273" t="str">
        <f t="shared" si="8"/>
        <v>C.6</v>
      </c>
      <c r="R23" s="274">
        <f t="shared" ca="1" si="5"/>
        <v>1</v>
      </c>
      <c r="S23" s="275">
        <f t="shared" ca="1" si="6"/>
        <v>0</v>
      </c>
      <c r="W23" s="242">
        <v>59</v>
      </c>
      <c r="X23" s="242">
        <v>2</v>
      </c>
      <c r="Y23" s="242" t="str">
        <f t="shared" si="0"/>
        <v>C</v>
      </c>
      <c r="Z23" s="242">
        <f t="shared" si="1"/>
        <v>3</v>
      </c>
      <c r="AB23" s="270" t="str">
        <f t="shared" si="9"/>
        <v>C.3</v>
      </c>
      <c r="AC23" s="20" t="str">
        <f t="shared" si="2"/>
        <v>Step 3</v>
      </c>
      <c r="AD23" s="238" t="str">
        <f t="shared" si="3"/>
        <v>Initiate improvement programme</v>
      </c>
    </row>
    <row r="24" spans="14:30" x14ac:dyDescent="0.25">
      <c r="T24"/>
      <c r="W24" s="242">
        <v>62</v>
      </c>
      <c r="X24" s="242">
        <v>2</v>
      </c>
      <c r="Y24" s="242" t="str">
        <f t="shared" si="0"/>
        <v>C</v>
      </c>
      <c r="Z24" s="242">
        <f t="shared" si="1"/>
        <v>4</v>
      </c>
      <c r="AB24" s="270" t="str">
        <f t="shared" si="9"/>
        <v>C.4</v>
      </c>
      <c r="AC24" s="20" t="str">
        <f t="shared" si="2"/>
        <v>Step 4</v>
      </c>
      <c r="AD24" s="238" t="str">
        <f t="shared" si="3"/>
        <v>Evaluate penetration testing effectiveness</v>
      </c>
    </row>
    <row r="25" spans="14:30" x14ac:dyDescent="0.25">
      <c r="T25"/>
      <c r="W25" s="242">
        <v>65</v>
      </c>
      <c r="X25" s="242">
        <v>2</v>
      </c>
      <c r="Y25" s="242" t="str">
        <f t="shared" si="0"/>
        <v>C</v>
      </c>
      <c r="Z25" s="242">
        <f t="shared" si="1"/>
        <v>5</v>
      </c>
      <c r="AB25" s="270" t="str">
        <f t="shared" si="9"/>
        <v>C.5</v>
      </c>
      <c r="AC25" s="20" t="str">
        <f t="shared" si="2"/>
        <v>Step 5</v>
      </c>
      <c r="AD25" s="238" t="str">
        <f t="shared" si="3"/>
        <v>Build on lessons learned</v>
      </c>
    </row>
    <row r="26" spans="14:30" ht="15.75" thickBot="1" x14ac:dyDescent="0.3">
      <c r="T26"/>
      <c r="W26" s="242">
        <v>68</v>
      </c>
      <c r="X26" s="242">
        <v>2</v>
      </c>
      <c r="Y26" s="242" t="str">
        <f t="shared" ref="Y26" si="10">VLOOKUP(W26,contentrefmockup,3,FALSE)</f>
        <v>C</v>
      </c>
      <c r="Z26" s="242">
        <f t="shared" ref="Z26" si="11">VLOOKUP(W26,contentrefmockup,4,FALSE)</f>
        <v>6</v>
      </c>
      <c r="AB26" s="273" t="str">
        <f t="shared" ref="AB26" si="12">IF(X26=1,Y26,Y26&amp;"."&amp;Z26)</f>
        <v>C.6</v>
      </c>
      <c r="AC26" s="239" t="str">
        <f t="shared" si="2"/>
        <v>Step 6</v>
      </c>
      <c r="AD26" s="240" t="str">
        <f t="shared" ref="AD26" si="13">VLOOKUP(W26,contentrefmockup,7,FALSE)</f>
        <v>Create and monitor action plans</v>
      </c>
    </row>
    <row r="27" spans="14:30" x14ac:dyDescent="0.25">
      <c r="T27"/>
    </row>
    <row r="28" spans="14:30" x14ac:dyDescent="0.25">
      <c r="T28"/>
    </row>
    <row r="29" spans="14:30" x14ac:dyDescent="0.25">
      <c r="T29"/>
    </row>
    <row r="30" spans="14:30" x14ac:dyDescent="0.25">
      <c r="T30"/>
    </row>
  </sheetData>
  <sheetProtection algorithmName="SHA-512" hashValue="4gRgpeJv4t5MWQJALHoujrGw88CX0RqCVQfjChRvk8xu/JsO/WIsXp5qxUq0WTifZ3iWmCeWjwXqyK5gJ/nVgQ==" saltValue="2ImBKqHJvsBTZXKI1KJgDQ==" spinCount="100000" sheet="1" objects="1" scenarios="1"/>
  <mergeCells count="3">
    <mergeCell ref="Q1:S1"/>
    <mergeCell ref="AB1:AD1"/>
    <mergeCell ref="A1:F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3"/>
  <dimension ref="A1:X72"/>
  <sheetViews>
    <sheetView topLeftCell="G1" zoomScaleNormal="100" workbookViewId="0">
      <pane ySplit="2" topLeftCell="A3" activePane="bottomLeft" state="frozen"/>
      <selection pane="bottomLeft" activeCell="X9" sqref="X9"/>
    </sheetView>
  </sheetViews>
  <sheetFormatPr defaultColWidth="9.140625" defaultRowHeight="15" x14ac:dyDescent="0.25"/>
  <cols>
    <col min="1" max="2" width="9.140625" style="10"/>
    <col min="3" max="3" width="12.42578125" style="10" customWidth="1"/>
    <col min="4" max="4" width="6.42578125" style="10" customWidth="1"/>
    <col min="5" max="5" width="5" style="10" customWidth="1"/>
    <col min="6" max="6" width="7" style="10" customWidth="1"/>
    <col min="7" max="7" width="88.7109375" style="255" customWidth="1"/>
    <col min="8" max="8" width="10.28515625" style="286" bestFit="1" customWidth="1"/>
    <col min="9" max="9" width="6.28515625" style="287" bestFit="1" customWidth="1"/>
    <col min="10" max="10" width="5" style="243" bestFit="1" customWidth="1"/>
    <col min="11" max="11" width="12.140625" style="243" bestFit="1" customWidth="1"/>
    <col min="12" max="12" width="5" style="243" bestFit="1" customWidth="1"/>
    <col min="13" max="13" width="2.42578125" style="243" bestFit="1" customWidth="1"/>
    <col min="14" max="14" width="5.5703125" style="243" bestFit="1" customWidth="1"/>
    <col min="15" max="15" width="5.28515625" style="287" bestFit="1" customWidth="1"/>
    <col min="16" max="16" width="9.140625" style="287"/>
    <col min="17" max="17" width="5.140625" style="243" customWidth="1"/>
    <col min="18" max="18" width="9.140625" style="288"/>
    <col min="19" max="23" width="9.140625" style="10"/>
    <col min="24" max="24" width="12.140625" style="10" bestFit="1" customWidth="1"/>
    <col min="25" max="16384" width="9.140625" style="10"/>
  </cols>
  <sheetData>
    <row r="1" spans="1:24" ht="15.75" thickBot="1" x14ac:dyDescent="0.3">
      <c r="A1" s="316" t="s">
        <v>242</v>
      </c>
      <c r="B1" s="318"/>
      <c r="C1" s="318"/>
      <c r="D1" s="318"/>
      <c r="E1" s="318"/>
      <c r="F1" s="318"/>
      <c r="G1" s="317"/>
      <c r="W1" s="316" t="s">
        <v>243</v>
      </c>
      <c r="X1" s="317"/>
    </row>
    <row r="2" spans="1:24" ht="15.75" thickBot="1" x14ac:dyDescent="0.3">
      <c r="A2" s="281" t="s">
        <v>67</v>
      </c>
      <c r="B2" s="281" t="s">
        <v>72</v>
      </c>
      <c r="C2" s="281" t="s">
        <v>94</v>
      </c>
      <c r="D2" s="281" t="s">
        <v>63</v>
      </c>
      <c r="E2" s="281" t="s">
        <v>64</v>
      </c>
      <c r="F2" s="281" t="s">
        <v>65</v>
      </c>
      <c r="G2" s="282" t="s">
        <v>66</v>
      </c>
      <c r="H2" s="289" t="s">
        <v>8</v>
      </c>
      <c r="I2" s="290" t="s">
        <v>68</v>
      </c>
      <c r="J2" s="291" t="s">
        <v>63</v>
      </c>
      <c r="K2" s="291" t="s">
        <v>69</v>
      </c>
      <c r="L2" s="291" t="s">
        <v>70</v>
      </c>
      <c r="M2" s="291" t="s">
        <v>64</v>
      </c>
      <c r="N2" s="291" t="s">
        <v>65</v>
      </c>
      <c r="O2" s="292" t="s">
        <v>71</v>
      </c>
      <c r="P2" s="293"/>
      <c r="T2" s="10" t="s">
        <v>127</v>
      </c>
      <c r="W2" s="256">
        <v>1</v>
      </c>
      <c r="X2" s="257" t="s">
        <v>94</v>
      </c>
    </row>
    <row r="3" spans="1:24" x14ac:dyDescent="0.25">
      <c r="A3" s="248">
        <v>1</v>
      </c>
      <c r="B3" s="280" t="str">
        <f>R3</f>
        <v>A</v>
      </c>
      <c r="C3" s="283" t="s">
        <v>90</v>
      </c>
      <c r="D3" s="248"/>
      <c r="E3" s="248"/>
      <c r="F3" s="248"/>
      <c r="G3" s="284" t="s">
        <v>141</v>
      </c>
      <c r="H3" s="294"/>
      <c r="I3" s="287">
        <f t="shared" ref="I3" si="0">IF(AND(LEN(C3)=1,LEN(D3)=0),1,"")</f>
        <v>1</v>
      </c>
      <c r="J3" s="202" t="str">
        <f t="shared" ref="J3" si="1">IF(AND(LEN(C3)=1,LEN(D3)=1,LEN(E3)=0,LEN(F3)=0),2,"")</f>
        <v/>
      </c>
      <c r="K3" s="202" t="str">
        <f t="shared" ref="K3" si="2">IF(AND(LEN(C3)=0,LEN(E3)=0),3,"")</f>
        <v/>
      </c>
      <c r="L3" s="202" t="str">
        <f t="shared" ref="L3" si="3">IF(AND(LEN(C3)&gt;0,LEN(D3&gt;0),LEN(E3)&gt;0,LEN(F3)=0,H3="N/A"),4,"")</f>
        <v/>
      </c>
      <c r="M3" s="202" t="str">
        <f t="shared" ref="M3" si="4">IF(AND(LEN(C3)&gt;0,LEN(D3&gt;0),LEN(E3)&gt;0,LEN(F3)=0,H3&gt;0,H3&lt;6),5,"")</f>
        <v/>
      </c>
      <c r="N3" s="202" t="str">
        <f t="shared" ref="N3" si="5">IF(AND(LEN(C3)&gt;0,LEN(D3&gt;0),LEN(E3)&gt;0,LEN(F3)&gt;0,H3&gt;0,H3&lt;6),6,"")</f>
        <v/>
      </c>
      <c r="O3" s="287">
        <f t="shared" ref="O3" si="6">SUM(I3:N3)</f>
        <v>1</v>
      </c>
      <c r="Q3" s="243" t="str">
        <f t="shared" ref="Q3" si="7">IF(LEN(E3)&gt;0,TEXT(E3,"00"),"")</f>
        <v/>
      </c>
      <c r="R3" s="288" t="str">
        <f t="shared" ref="R3" si="8">IF(O3=1,C3,IF(O3=2,C3&amp;"."&amp;D3,IF(O3=3,"",IF(O3=4,C3&amp;"."&amp;D3&amp;"."&amp;Q3,IF(O3=5,C3&amp;"."&amp;D3&amp;"."&amp;Q3,IF(O3=6,C3&amp;"."&amp;D3&amp;"."&amp;Q3&amp;F3,""))))))</f>
        <v>A</v>
      </c>
      <c r="W3" s="258">
        <v>2</v>
      </c>
      <c r="X3" s="259" t="s">
        <v>63</v>
      </c>
    </row>
    <row r="4" spans="1:24" x14ac:dyDescent="0.25">
      <c r="A4" s="10">
        <v>2</v>
      </c>
      <c r="B4" s="280" t="str">
        <f t="shared" ref="B4:B68" si="9">R4</f>
        <v>A.1</v>
      </c>
      <c r="C4" s="285" t="s">
        <v>90</v>
      </c>
      <c r="D4" s="10">
        <v>1</v>
      </c>
      <c r="G4" s="255" t="s">
        <v>142</v>
      </c>
      <c r="I4" s="287" t="str">
        <f t="shared" ref="I4:I68" si="10">IF(AND(LEN(C4)=1,LEN(D4)=0),1,"")</f>
        <v/>
      </c>
      <c r="J4" s="202">
        <f t="shared" ref="J4:J68" si="11">IF(AND(LEN(C4)=1,LEN(D4)=1,LEN(E4)=0,LEN(F4)=0),2,"")</f>
        <v>2</v>
      </c>
      <c r="K4" s="202" t="str">
        <f t="shared" ref="K4:K68" si="12">IF(AND(LEN(C4)=0,LEN(E4)=0),3,"")</f>
        <v/>
      </c>
      <c r="L4" s="202" t="str">
        <f t="shared" ref="L4:L68" si="13">IF(AND(LEN(C4)&gt;0,LEN(D4&gt;0),LEN(E4)&gt;0,LEN(F4)=0,H4="N/A"),4,"")</f>
        <v/>
      </c>
      <c r="M4" s="202" t="str">
        <f t="shared" ref="M4:M68" si="14">IF(AND(LEN(C4)&gt;0,LEN(D4&gt;0),LEN(E4)&gt;0,LEN(F4)=0,H4&gt;0,H4&lt;6),5,"")</f>
        <v/>
      </c>
      <c r="N4" s="202" t="str">
        <f t="shared" ref="N4:N68" si="15">IF(AND(LEN(C4)&gt;0,LEN(D4&gt;0),LEN(E4)&gt;0,LEN(F4)&gt;0,H4&gt;0,H4&lt;6),6,"")</f>
        <v/>
      </c>
      <c r="O4" s="287">
        <f t="shared" ref="O4:O68" si="16">SUM(I4:N4)</f>
        <v>2</v>
      </c>
      <c r="Q4" s="243" t="str">
        <f t="shared" ref="Q4:Q68" si="17">IF(LEN(E4)&gt;0,TEXT(E4,"00"),"")</f>
        <v/>
      </c>
      <c r="R4" s="288" t="str">
        <f t="shared" ref="R4:R68" si="18">IF(O4=1,C4,IF(O4=2,C4&amp;"."&amp;D4,IF(O4=3,"",IF(O4=4,C4&amp;"."&amp;D4&amp;"."&amp;Q4,IF(O4=5,C4&amp;"."&amp;D4&amp;"."&amp;Q4,IF(O4=6,C4&amp;"."&amp;D4&amp;"."&amp;Q4&amp;F4,""))))))</f>
        <v>A.1</v>
      </c>
      <c r="W4" s="258">
        <v>3</v>
      </c>
      <c r="X4" s="259" t="s">
        <v>69</v>
      </c>
    </row>
    <row r="5" spans="1:24" ht="30" x14ac:dyDescent="0.25">
      <c r="A5" s="10">
        <v>3</v>
      </c>
      <c r="B5" s="280" t="str">
        <f t="shared" si="9"/>
        <v>A.1.01</v>
      </c>
      <c r="C5" s="285" t="s">
        <v>90</v>
      </c>
      <c r="D5" s="10">
        <v>1</v>
      </c>
      <c r="E5" s="10">
        <v>1</v>
      </c>
      <c r="G5" s="255" t="s">
        <v>165</v>
      </c>
      <c r="H5" s="286">
        <v>1</v>
      </c>
      <c r="I5" s="287" t="str">
        <f t="shared" si="10"/>
        <v/>
      </c>
      <c r="J5" s="202" t="str">
        <f t="shared" si="11"/>
        <v/>
      </c>
      <c r="K5" s="202" t="str">
        <f t="shared" si="12"/>
        <v/>
      </c>
      <c r="L5" s="202" t="str">
        <f t="shared" si="13"/>
        <v/>
      </c>
      <c r="M5" s="202">
        <f t="shared" si="14"/>
        <v>5</v>
      </c>
      <c r="N5" s="202" t="str">
        <f t="shared" si="15"/>
        <v/>
      </c>
      <c r="O5" s="287">
        <f t="shared" si="16"/>
        <v>5</v>
      </c>
      <c r="Q5" s="243" t="str">
        <f t="shared" si="17"/>
        <v>01</v>
      </c>
      <c r="R5" s="288" t="str">
        <f t="shared" si="18"/>
        <v>A.1.01</v>
      </c>
      <c r="W5" s="258">
        <v>4</v>
      </c>
      <c r="X5" s="259" t="s">
        <v>70</v>
      </c>
    </row>
    <row r="6" spans="1:24" ht="90" x14ac:dyDescent="0.25">
      <c r="A6" s="10">
        <v>4</v>
      </c>
      <c r="B6" s="280" t="str">
        <f t="shared" si="9"/>
        <v/>
      </c>
      <c r="C6" s="285"/>
      <c r="F6" s="10" t="s">
        <v>122</v>
      </c>
      <c r="G6" s="255" t="s">
        <v>214</v>
      </c>
      <c r="I6" s="287" t="str">
        <f t="shared" si="10"/>
        <v/>
      </c>
      <c r="J6" s="202" t="str">
        <f t="shared" si="11"/>
        <v/>
      </c>
      <c r="K6" s="202">
        <f t="shared" si="12"/>
        <v>3</v>
      </c>
      <c r="L6" s="202" t="str">
        <f t="shared" si="13"/>
        <v/>
      </c>
      <c r="M6" s="202" t="str">
        <f t="shared" si="14"/>
        <v/>
      </c>
      <c r="N6" s="202" t="str">
        <f t="shared" si="15"/>
        <v/>
      </c>
      <c r="O6" s="287">
        <f t="shared" si="16"/>
        <v>3</v>
      </c>
      <c r="Q6" s="243" t="str">
        <f t="shared" si="17"/>
        <v/>
      </c>
      <c r="R6" s="288" t="str">
        <f t="shared" si="18"/>
        <v/>
      </c>
      <c r="W6" s="258">
        <v>5</v>
      </c>
      <c r="X6" s="259" t="s">
        <v>64</v>
      </c>
    </row>
    <row r="7" spans="1:24" ht="15.75" thickBot="1" x14ac:dyDescent="0.3">
      <c r="A7" s="10">
        <v>5</v>
      </c>
      <c r="B7" s="280" t="str">
        <f t="shared" si="9"/>
        <v>A.2</v>
      </c>
      <c r="C7" s="285" t="s">
        <v>90</v>
      </c>
      <c r="D7" s="10">
        <v>2</v>
      </c>
      <c r="G7" s="255" t="s">
        <v>143</v>
      </c>
      <c r="I7" s="287" t="str">
        <f t="shared" si="10"/>
        <v/>
      </c>
      <c r="J7" s="202">
        <f t="shared" si="11"/>
        <v>2</v>
      </c>
      <c r="K7" s="202" t="str">
        <f t="shared" si="12"/>
        <v/>
      </c>
      <c r="L7" s="202" t="str">
        <f t="shared" si="13"/>
        <v/>
      </c>
      <c r="M7" s="202" t="str">
        <f t="shared" si="14"/>
        <v/>
      </c>
      <c r="N7" s="202" t="str">
        <f t="shared" si="15"/>
        <v/>
      </c>
      <c r="O7" s="287">
        <f t="shared" si="16"/>
        <v>2</v>
      </c>
      <c r="Q7" s="243" t="str">
        <f t="shared" si="17"/>
        <v/>
      </c>
      <c r="R7" s="288" t="str">
        <f t="shared" si="18"/>
        <v>A.2</v>
      </c>
      <c r="W7" s="260">
        <v>6</v>
      </c>
      <c r="X7" s="261" t="s">
        <v>65</v>
      </c>
    </row>
    <row r="8" spans="1:24" ht="30" x14ac:dyDescent="0.25">
      <c r="A8" s="10">
        <v>6</v>
      </c>
      <c r="B8" s="280" t="str">
        <f t="shared" si="9"/>
        <v>A.2.01</v>
      </c>
      <c r="C8" s="285" t="s">
        <v>90</v>
      </c>
      <c r="D8" s="10">
        <v>2</v>
      </c>
      <c r="E8" s="10">
        <v>1</v>
      </c>
      <c r="G8" s="255" t="s">
        <v>144</v>
      </c>
      <c r="H8" s="286">
        <v>1</v>
      </c>
      <c r="I8" s="287" t="str">
        <f t="shared" si="10"/>
        <v/>
      </c>
      <c r="J8" s="202" t="str">
        <f t="shared" si="11"/>
        <v/>
      </c>
      <c r="K8" s="202" t="str">
        <f t="shared" si="12"/>
        <v/>
      </c>
      <c r="L8" s="202" t="str">
        <f t="shared" si="13"/>
        <v/>
      </c>
      <c r="M8" s="202">
        <f t="shared" si="14"/>
        <v>5</v>
      </c>
      <c r="N8" s="202" t="str">
        <f t="shared" si="15"/>
        <v/>
      </c>
      <c r="O8" s="287">
        <f t="shared" si="16"/>
        <v>5</v>
      </c>
      <c r="Q8" s="243" t="str">
        <f t="shared" si="17"/>
        <v>01</v>
      </c>
      <c r="R8" s="288" t="str">
        <f t="shared" si="18"/>
        <v>A.2.01</v>
      </c>
    </row>
    <row r="9" spans="1:24" ht="105" x14ac:dyDescent="0.25">
      <c r="A9" s="10">
        <v>7</v>
      </c>
      <c r="B9" s="280" t="str">
        <f t="shared" si="9"/>
        <v/>
      </c>
      <c r="C9" s="285"/>
      <c r="F9" s="10" t="s">
        <v>122</v>
      </c>
      <c r="G9" s="255" t="s">
        <v>166</v>
      </c>
      <c r="I9" s="287" t="str">
        <f t="shared" si="10"/>
        <v/>
      </c>
      <c r="J9" s="202" t="str">
        <f t="shared" si="11"/>
        <v/>
      </c>
      <c r="K9" s="202">
        <f t="shared" si="12"/>
        <v>3</v>
      </c>
      <c r="L9" s="202" t="str">
        <f t="shared" si="13"/>
        <v/>
      </c>
      <c r="M9" s="202" t="str">
        <f t="shared" si="14"/>
        <v/>
      </c>
      <c r="N9" s="202" t="str">
        <f t="shared" si="15"/>
        <v/>
      </c>
      <c r="O9" s="287">
        <f t="shared" si="16"/>
        <v>3</v>
      </c>
      <c r="Q9" s="243" t="str">
        <f t="shared" si="17"/>
        <v/>
      </c>
      <c r="R9" s="288" t="str">
        <f t="shared" si="18"/>
        <v/>
      </c>
    </row>
    <row r="10" spans="1:24" x14ac:dyDescent="0.25">
      <c r="A10" s="10">
        <v>8</v>
      </c>
      <c r="B10" s="280" t="str">
        <f t="shared" si="9"/>
        <v>A.3</v>
      </c>
      <c r="C10" s="285" t="s">
        <v>90</v>
      </c>
      <c r="D10" s="10">
        <v>3</v>
      </c>
      <c r="G10" s="255" t="s">
        <v>145</v>
      </c>
      <c r="I10" s="287" t="str">
        <f t="shared" si="10"/>
        <v/>
      </c>
      <c r="J10" s="202">
        <f t="shared" si="11"/>
        <v>2</v>
      </c>
      <c r="K10" s="202" t="str">
        <f t="shared" si="12"/>
        <v/>
      </c>
      <c r="L10" s="202" t="str">
        <f t="shared" si="13"/>
        <v/>
      </c>
      <c r="M10" s="202" t="str">
        <f t="shared" si="14"/>
        <v/>
      </c>
      <c r="N10" s="202" t="str">
        <f t="shared" si="15"/>
        <v/>
      </c>
      <c r="O10" s="287">
        <f t="shared" si="16"/>
        <v>2</v>
      </c>
      <c r="Q10" s="243" t="str">
        <f t="shared" si="17"/>
        <v/>
      </c>
      <c r="R10" s="288" t="str">
        <f t="shared" si="18"/>
        <v>A.3</v>
      </c>
    </row>
    <row r="11" spans="1:24" ht="45" x14ac:dyDescent="0.25">
      <c r="A11" s="10">
        <v>9</v>
      </c>
      <c r="B11" s="280" t="str">
        <f t="shared" si="9"/>
        <v>A.3.01</v>
      </c>
      <c r="C11" s="285" t="s">
        <v>90</v>
      </c>
      <c r="D11" s="10">
        <v>3</v>
      </c>
      <c r="E11" s="10">
        <v>1</v>
      </c>
      <c r="G11" s="255" t="s">
        <v>167</v>
      </c>
      <c r="H11" s="286">
        <v>1</v>
      </c>
      <c r="I11" s="287" t="str">
        <f t="shared" si="10"/>
        <v/>
      </c>
      <c r="J11" s="202" t="str">
        <f t="shared" si="11"/>
        <v/>
      </c>
      <c r="K11" s="202" t="str">
        <f t="shared" si="12"/>
        <v/>
      </c>
      <c r="L11" s="202" t="str">
        <f t="shared" si="13"/>
        <v/>
      </c>
      <c r="M11" s="202">
        <f t="shared" si="14"/>
        <v>5</v>
      </c>
      <c r="N11" s="202" t="str">
        <f t="shared" si="15"/>
        <v/>
      </c>
      <c r="O11" s="287">
        <f t="shared" si="16"/>
        <v>5</v>
      </c>
      <c r="Q11" s="243" t="str">
        <f t="shared" si="17"/>
        <v>01</v>
      </c>
      <c r="R11" s="288" t="str">
        <f t="shared" si="18"/>
        <v>A.3.01</v>
      </c>
    </row>
    <row r="12" spans="1:24" ht="60" x14ac:dyDescent="0.25">
      <c r="A12" s="10">
        <v>10</v>
      </c>
      <c r="B12" s="280" t="str">
        <f t="shared" si="9"/>
        <v/>
      </c>
      <c r="C12" s="285"/>
      <c r="F12" s="10" t="s">
        <v>122</v>
      </c>
      <c r="G12" s="255" t="s">
        <v>168</v>
      </c>
      <c r="I12" s="287" t="str">
        <f t="shared" si="10"/>
        <v/>
      </c>
      <c r="J12" s="202" t="str">
        <f t="shared" si="11"/>
        <v/>
      </c>
      <c r="K12" s="202">
        <f t="shared" si="12"/>
        <v>3</v>
      </c>
      <c r="L12" s="202" t="str">
        <f t="shared" si="13"/>
        <v/>
      </c>
      <c r="M12" s="202" t="str">
        <f t="shared" si="14"/>
        <v/>
      </c>
      <c r="N12" s="202" t="str">
        <f t="shared" si="15"/>
        <v/>
      </c>
      <c r="O12" s="287">
        <f t="shared" si="16"/>
        <v>3</v>
      </c>
      <c r="Q12" s="243" t="str">
        <f t="shared" si="17"/>
        <v/>
      </c>
      <c r="R12" s="288" t="str">
        <f t="shared" si="18"/>
        <v/>
      </c>
    </row>
    <row r="13" spans="1:24" x14ac:dyDescent="0.25">
      <c r="A13" s="10">
        <v>11</v>
      </c>
      <c r="B13" s="280" t="str">
        <f t="shared" si="9"/>
        <v>A.4</v>
      </c>
      <c r="C13" s="285" t="s">
        <v>90</v>
      </c>
      <c r="D13" s="10">
        <v>4</v>
      </c>
      <c r="G13" s="255" t="s">
        <v>146</v>
      </c>
      <c r="I13" s="287" t="str">
        <f t="shared" si="10"/>
        <v/>
      </c>
      <c r="J13" s="202">
        <f t="shared" si="11"/>
        <v>2</v>
      </c>
      <c r="K13" s="202" t="str">
        <f t="shared" si="12"/>
        <v/>
      </c>
      <c r="L13" s="202" t="str">
        <f t="shared" si="13"/>
        <v/>
      </c>
      <c r="M13" s="202" t="str">
        <f t="shared" si="14"/>
        <v/>
      </c>
      <c r="N13" s="202" t="str">
        <f t="shared" si="15"/>
        <v/>
      </c>
      <c r="O13" s="287">
        <f t="shared" si="16"/>
        <v>2</v>
      </c>
      <c r="Q13" s="243" t="str">
        <f t="shared" si="17"/>
        <v/>
      </c>
      <c r="R13" s="288" t="str">
        <f t="shared" si="18"/>
        <v>A.4</v>
      </c>
    </row>
    <row r="14" spans="1:24" ht="30" x14ac:dyDescent="0.25">
      <c r="A14" s="10">
        <v>12</v>
      </c>
      <c r="B14" s="280" t="str">
        <f t="shared" si="9"/>
        <v>A.4.01</v>
      </c>
      <c r="C14" s="285" t="s">
        <v>90</v>
      </c>
      <c r="D14" s="10">
        <v>4</v>
      </c>
      <c r="E14" s="10">
        <v>1</v>
      </c>
      <c r="G14" s="255" t="s">
        <v>123</v>
      </c>
      <c r="H14" s="286">
        <v>1</v>
      </c>
      <c r="I14" s="287" t="str">
        <f t="shared" si="10"/>
        <v/>
      </c>
      <c r="J14" s="202" t="str">
        <f t="shared" si="11"/>
        <v/>
      </c>
      <c r="K14" s="202" t="str">
        <f t="shared" si="12"/>
        <v/>
      </c>
      <c r="L14" s="202" t="str">
        <f t="shared" si="13"/>
        <v/>
      </c>
      <c r="M14" s="202">
        <f t="shared" si="14"/>
        <v>5</v>
      </c>
      <c r="N14" s="202" t="str">
        <f t="shared" si="15"/>
        <v/>
      </c>
      <c r="O14" s="287">
        <f t="shared" si="16"/>
        <v>5</v>
      </c>
      <c r="Q14" s="243" t="str">
        <f t="shared" si="17"/>
        <v>01</v>
      </c>
      <c r="R14" s="288" t="str">
        <f t="shared" si="18"/>
        <v>A.4.01</v>
      </c>
    </row>
    <row r="15" spans="1:24" ht="60" x14ac:dyDescent="0.25">
      <c r="A15" s="10">
        <v>13</v>
      </c>
      <c r="B15" s="280" t="str">
        <f t="shared" si="9"/>
        <v/>
      </c>
      <c r="C15" s="285"/>
      <c r="F15" s="10" t="s">
        <v>122</v>
      </c>
      <c r="G15" s="255" t="s">
        <v>169</v>
      </c>
      <c r="I15" s="287" t="str">
        <f t="shared" si="10"/>
        <v/>
      </c>
      <c r="J15" s="202" t="str">
        <f t="shared" si="11"/>
        <v/>
      </c>
      <c r="K15" s="202">
        <f t="shared" si="12"/>
        <v>3</v>
      </c>
      <c r="L15" s="202" t="str">
        <f t="shared" si="13"/>
        <v/>
      </c>
      <c r="M15" s="202" t="str">
        <f t="shared" si="14"/>
        <v/>
      </c>
      <c r="N15" s="202" t="str">
        <f t="shared" si="15"/>
        <v/>
      </c>
      <c r="O15" s="287">
        <f t="shared" si="16"/>
        <v>3</v>
      </c>
      <c r="Q15" s="243" t="str">
        <f t="shared" si="17"/>
        <v/>
      </c>
      <c r="R15" s="288" t="str">
        <f t="shared" si="18"/>
        <v/>
      </c>
    </row>
    <row r="16" spans="1:24" x14ac:dyDescent="0.25">
      <c r="A16" s="10">
        <v>14</v>
      </c>
      <c r="B16" s="280" t="str">
        <f t="shared" si="9"/>
        <v>A.5</v>
      </c>
      <c r="C16" s="285" t="s">
        <v>90</v>
      </c>
      <c r="D16" s="10">
        <v>5</v>
      </c>
      <c r="G16" s="255" t="s">
        <v>128</v>
      </c>
      <c r="I16" s="287" t="str">
        <f t="shared" si="10"/>
        <v/>
      </c>
      <c r="J16" s="202">
        <f t="shared" si="11"/>
        <v>2</v>
      </c>
      <c r="K16" s="202" t="str">
        <f t="shared" si="12"/>
        <v/>
      </c>
      <c r="L16" s="202" t="str">
        <f t="shared" si="13"/>
        <v/>
      </c>
      <c r="M16" s="202" t="str">
        <f t="shared" si="14"/>
        <v/>
      </c>
      <c r="N16" s="202" t="str">
        <f t="shared" si="15"/>
        <v/>
      </c>
      <c r="O16" s="287">
        <f t="shared" si="16"/>
        <v>2</v>
      </c>
      <c r="Q16" s="243" t="str">
        <f t="shared" si="17"/>
        <v/>
      </c>
      <c r="R16" s="288" t="str">
        <f t="shared" si="18"/>
        <v>A.5</v>
      </c>
    </row>
    <row r="17" spans="1:18" ht="30" x14ac:dyDescent="0.25">
      <c r="A17" s="10">
        <v>15</v>
      </c>
      <c r="B17" s="280" t="str">
        <f t="shared" si="9"/>
        <v>A.5.01</v>
      </c>
      <c r="C17" s="285" t="s">
        <v>90</v>
      </c>
      <c r="D17" s="10">
        <v>5</v>
      </c>
      <c r="E17" s="10">
        <v>1</v>
      </c>
      <c r="G17" s="255" t="s">
        <v>170</v>
      </c>
      <c r="H17" s="286">
        <v>1</v>
      </c>
      <c r="I17" s="287" t="str">
        <f t="shared" si="10"/>
        <v/>
      </c>
      <c r="J17" s="202" t="str">
        <f t="shared" si="11"/>
        <v/>
      </c>
      <c r="K17" s="202" t="str">
        <f t="shared" si="12"/>
        <v/>
      </c>
      <c r="L17" s="202" t="str">
        <f t="shared" si="13"/>
        <v/>
      </c>
      <c r="M17" s="202">
        <f t="shared" si="14"/>
        <v>5</v>
      </c>
      <c r="N17" s="202" t="str">
        <f t="shared" si="15"/>
        <v/>
      </c>
      <c r="O17" s="287">
        <f t="shared" si="16"/>
        <v>5</v>
      </c>
      <c r="Q17" s="243" t="str">
        <f t="shared" si="17"/>
        <v>01</v>
      </c>
      <c r="R17" s="288" t="str">
        <f t="shared" si="18"/>
        <v>A.5.01</v>
      </c>
    </row>
    <row r="18" spans="1:18" ht="90" x14ac:dyDescent="0.25">
      <c r="A18" s="10">
        <v>16</v>
      </c>
      <c r="B18" s="280" t="str">
        <f t="shared" si="9"/>
        <v/>
      </c>
      <c r="C18" s="285"/>
      <c r="F18" s="10" t="s">
        <v>122</v>
      </c>
      <c r="G18" s="255" t="s">
        <v>171</v>
      </c>
      <c r="I18" s="287" t="str">
        <f t="shared" si="10"/>
        <v/>
      </c>
      <c r="J18" s="202" t="str">
        <f t="shared" si="11"/>
        <v/>
      </c>
      <c r="K18" s="202">
        <f t="shared" si="12"/>
        <v>3</v>
      </c>
      <c r="L18" s="202" t="str">
        <f t="shared" si="13"/>
        <v/>
      </c>
      <c r="M18" s="202" t="str">
        <f t="shared" si="14"/>
        <v/>
      </c>
      <c r="N18" s="202" t="str">
        <f t="shared" si="15"/>
        <v/>
      </c>
      <c r="O18" s="287">
        <f t="shared" si="16"/>
        <v>3</v>
      </c>
      <c r="Q18" s="243" t="str">
        <f t="shared" si="17"/>
        <v/>
      </c>
      <c r="R18" s="288" t="str">
        <f t="shared" si="18"/>
        <v/>
      </c>
    </row>
    <row r="19" spans="1:18" x14ac:dyDescent="0.25">
      <c r="A19" s="10">
        <v>17</v>
      </c>
      <c r="B19" s="280" t="str">
        <f t="shared" si="9"/>
        <v>A.6</v>
      </c>
      <c r="C19" s="285" t="s">
        <v>90</v>
      </c>
      <c r="D19" s="10">
        <v>6</v>
      </c>
      <c r="G19" s="255" t="s">
        <v>147</v>
      </c>
      <c r="I19" s="287" t="str">
        <f t="shared" si="10"/>
        <v/>
      </c>
      <c r="J19" s="202">
        <f t="shared" si="11"/>
        <v>2</v>
      </c>
      <c r="K19" s="202" t="str">
        <f t="shared" si="12"/>
        <v/>
      </c>
      <c r="L19" s="202" t="str">
        <f t="shared" si="13"/>
        <v/>
      </c>
      <c r="M19" s="202" t="str">
        <f t="shared" si="14"/>
        <v/>
      </c>
      <c r="N19" s="202" t="str">
        <f t="shared" si="15"/>
        <v/>
      </c>
      <c r="O19" s="287">
        <f t="shared" si="16"/>
        <v>2</v>
      </c>
      <c r="Q19" s="243" t="str">
        <f t="shared" si="17"/>
        <v/>
      </c>
      <c r="R19" s="288" t="str">
        <f t="shared" si="18"/>
        <v>A.6</v>
      </c>
    </row>
    <row r="20" spans="1:18" x14ac:dyDescent="0.25">
      <c r="A20" s="10">
        <v>18</v>
      </c>
      <c r="B20" s="280" t="str">
        <f t="shared" si="9"/>
        <v>A.6.01</v>
      </c>
      <c r="C20" s="285" t="s">
        <v>90</v>
      </c>
      <c r="D20" s="10">
        <v>6</v>
      </c>
      <c r="E20" s="10">
        <v>1</v>
      </c>
      <c r="G20" s="255" t="s">
        <v>124</v>
      </c>
      <c r="H20" s="286">
        <v>1</v>
      </c>
      <c r="I20" s="287" t="str">
        <f t="shared" si="10"/>
        <v/>
      </c>
      <c r="J20" s="202" t="str">
        <f t="shared" si="11"/>
        <v/>
      </c>
      <c r="K20" s="202" t="str">
        <f t="shared" si="12"/>
        <v/>
      </c>
      <c r="L20" s="202" t="str">
        <f t="shared" si="13"/>
        <v/>
      </c>
      <c r="M20" s="202">
        <f t="shared" si="14"/>
        <v>5</v>
      </c>
      <c r="N20" s="202" t="str">
        <f t="shared" si="15"/>
        <v/>
      </c>
      <c r="O20" s="287">
        <f t="shared" si="16"/>
        <v>5</v>
      </c>
      <c r="Q20" s="243" t="str">
        <f t="shared" si="17"/>
        <v>01</v>
      </c>
      <c r="R20" s="288" t="str">
        <f t="shared" si="18"/>
        <v>A.6.01</v>
      </c>
    </row>
    <row r="21" spans="1:18" ht="60" x14ac:dyDescent="0.25">
      <c r="A21" s="10">
        <v>19</v>
      </c>
      <c r="B21" s="280" t="str">
        <f t="shared" si="9"/>
        <v/>
      </c>
      <c r="C21" s="285"/>
      <c r="F21" s="10" t="s">
        <v>122</v>
      </c>
      <c r="G21" s="255" t="s">
        <v>172</v>
      </c>
      <c r="I21" s="287" t="str">
        <f t="shared" si="10"/>
        <v/>
      </c>
      <c r="J21" s="202" t="str">
        <f t="shared" si="11"/>
        <v/>
      </c>
      <c r="K21" s="202">
        <f t="shared" si="12"/>
        <v>3</v>
      </c>
      <c r="L21" s="202" t="str">
        <f t="shared" si="13"/>
        <v/>
      </c>
      <c r="M21" s="202" t="str">
        <f t="shared" si="14"/>
        <v/>
      </c>
      <c r="N21" s="202" t="str">
        <f t="shared" si="15"/>
        <v/>
      </c>
      <c r="O21" s="287">
        <f t="shared" si="16"/>
        <v>3</v>
      </c>
      <c r="Q21" s="243" t="str">
        <f t="shared" si="17"/>
        <v/>
      </c>
      <c r="R21" s="288" t="str">
        <f t="shared" si="18"/>
        <v/>
      </c>
    </row>
    <row r="22" spans="1:18" x14ac:dyDescent="0.25">
      <c r="A22" s="10">
        <v>20</v>
      </c>
      <c r="B22" s="280" t="str">
        <f t="shared" si="9"/>
        <v>A.7</v>
      </c>
      <c r="C22" s="285" t="s">
        <v>90</v>
      </c>
      <c r="D22" s="10">
        <v>7</v>
      </c>
      <c r="G22" s="255" t="s">
        <v>225</v>
      </c>
      <c r="I22" s="287" t="str">
        <f t="shared" si="10"/>
        <v/>
      </c>
      <c r="J22" s="202">
        <f t="shared" si="11"/>
        <v>2</v>
      </c>
      <c r="K22" s="202" t="str">
        <f t="shared" si="12"/>
        <v/>
      </c>
      <c r="L22" s="202" t="str">
        <f t="shared" si="13"/>
        <v/>
      </c>
      <c r="M22" s="202" t="str">
        <f t="shared" si="14"/>
        <v/>
      </c>
      <c r="N22" s="202" t="str">
        <f t="shared" si="15"/>
        <v/>
      </c>
      <c r="O22" s="287">
        <f t="shared" si="16"/>
        <v>2</v>
      </c>
      <c r="Q22" s="243" t="str">
        <f t="shared" si="17"/>
        <v/>
      </c>
      <c r="R22" s="288" t="str">
        <f t="shared" si="18"/>
        <v>A.7</v>
      </c>
    </row>
    <row r="23" spans="1:18" ht="45" x14ac:dyDescent="0.25">
      <c r="A23" s="10">
        <v>21</v>
      </c>
      <c r="B23" s="280" t="str">
        <f t="shared" si="9"/>
        <v>A.7.01</v>
      </c>
      <c r="C23" s="285" t="s">
        <v>90</v>
      </c>
      <c r="D23" s="10">
        <v>7</v>
      </c>
      <c r="E23" s="10">
        <v>1</v>
      </c>
      <c r="G23" s="255" t="s">
        <v>173</v>
      </c>
      <c r="H23" s="286">
        <v>1</v>
      </c>
      <c r="I23" s="287" t="str">
        <f t="shared" si="10"/>
        <v/>
      </c>
      <c r="J23" s="202" t="str">
        <f t="shared" si="11"/>
        <v/>
      </c>
      <c r="K23" s="202" t="str">
        <f t="shared" si="12"/>
        <v/>
      </c>
      <c r="L23" s="202" t="str">
        <f t="shared" si="13"/>
        <v/>
      </c>
      <c r="M23" s="202">
        <f t="shared" si="14"/>
        <v>5</v>
      </c>
      <c r="N23" s="202" t="str">
        <f t="shared" si="15"/>
        <v/>
      </c>
      <c r="O23" s="287">
        <f t="shared" si="16"/>
        <v>5</v>
      </c>
      <c r="Q23" s="243" t="str">
        <f t="shared" si="17"/>
        <v>01</v>
      </c>
      <c r="R23" s="288" t="str">
        <f t="shared" si="18"/>
        <v>A.7.01</v>
      </c>
    </row>
    <row r="24" spans="1:18" ht="75" x14ac:dyDescent="0.25">
      <c r="A24" s="10">
        <v>22</v>
      </c>
      <c r="B24" s="280" t="str">
        <f t="shared" si="9"/>
        <v/>
      </c>
      <c r="C24" s="285"/>
      <c r="F24" s="10" t="s">
        <v>122</v>
      </c>
      <c r="G24" s="255" t="s">
        <v>174</v>
      </c>
      <c r="I24" s="287" t="str">
        <f t="shared" si="10"/>
        <v/>
      </c>
      <c r="J24" s="202" t="str">
        <f t="shared" si="11"/>
        <v/>
      </c>
      <c r="K24" s="202">
        <f t="shared" si="12"/>
        <v>3</v>
      </c>
      <c r="L24" s="202" t="str">
        <f t="shared" si="13"/>
        <v/>
      </c>
      <c r="M24" s="202" t="str">
        <f t="shared" si="14"/>
        <v/>
      </c>
      <c r="N24" s="202" t="str">
        <f t="shared" si="15"/>
        <v/>
      </c>
      <c r="O24" s="287">
        <f t="shared" si="16"/>
        <v>3</v>
      </c>
      <c r="Q24" s="243" t="str">
        <f t="shared" si="17"/>
        <v/>
      </c>
      <c r="R24" s="288" t="str">
        <f t="shared" si="18"/>
        <v/>
      </c>
    </row>
    <row r="25" spans="1:18" x14ac:dyDescent="0.25">
      <c r="A25" s="10">
        <v>23</v>
      </c>
      <c r="B25" s="280" t="str">
        <f t="shared" si="9"/>
        <v>B</v>
      </c>
      <c r="C25" s="285" t="s">
        <v>91</v>
      </c>
      <c r="G25" s="255" t="s">
        <v>148</v>
      </c>
      <c r="I25" s="287">
        <f t="shared" si="10"/>
        <v>1</v>
      </c>
      <c r="J25" s="202" t="str">
        <f t="shared" si="11"/>
        <v/>
      </c>
      <c r="K25" s="202" t="str">
        <f t="shared" si="12"/>
        <v/>
      </c>
      <c r="L25" s="202" t="str">
        <f t="shared" si="13"/>
        <v/>
      </c>
      <c r="M25" s="202" t="str">
        <f t="shared" si="14"/>
        <v/>
      </c>
      <c r="N25" s="202" t="str">
        <f t="shared" si="15"/>
        <v/>
      </c>
      <c r="O25" s="287">
        <f t="shared" si="16"/>
        <v>1</v>
      </c>
      <c r="Q25" s="243" t="str">
        <f t="shared" si="17"/>
        <v/>
      </c>
      <c r="R25" s="288" t="str">
        <f t="shared" si="18"/>
        <v>B</v>
      </c>
    </row>
    <row r="26" spans="1:18" x14ac:dyDescent="0.25">
      <c r="A26" s="10">
        <v>24</v>
      </c>
      <c r="B26" s="280" t="str">
        <f t="shared" si="9"/>
        <v>B.1</v>
      </c>
      <c r="C26" s="285" t="s">
        <v>91</v>
      </c>
      <c r="D26" s="10">
        <v>1</v>
      </c>
      <c r="G26" s="255" t="s">
        <v>149</v>
      </c>
      <c r="I26" s="287" t="str">
        <f t="shared" si="10"/>
        <v/>
      </c>
      <c r="J26" s="202">
        <f t="shared" si="11"/>
        <v>2</v>
      </c>
      <c r="K26" s="202" t="str">
        <f t="shared" si="12"/>
        <v/>
      </c>
      <c r="L26" s="202" t="str">
        <f t="shared" si="13"/>
        <v/>
      </c>
      <c r="M26" s="202" t="str">
        <f t="shared" si="14"/>
        <v/>
      </c>
      <c r="N26" s="202" t="str">
        <f t="shared" si="15"/>
        <v/>
      </c>
      <c r="O26" s="287">
        <f t="shared" si="16"/>
        <v>2</v>
      </c>
      <c r="Q26" s="243" t="str">
        <f t="shared" si="17"/>
        <v/>
      </c>
      <c r="R26" s="288" t="str">
        <f t="shared" si="18"/>
        <v>B.1</v>
      </c>
    </row>
    <row r="27" spans="1:18" ht="30" x14ac:dyDescent="0.25">
      <c r="A27" s="10">
        <v>25</v>
      </c>
      <c r="B27" s="280" t="str">
        <f t="shared" si="9"/>
        <v>B.1.01</v>
      </c>
      <c r="C27" s="285" t="s">
        <v>91</v>
      </c>
      <c r="D27" s="10">
        <v>1</v>
      </c>
      <c r="E27" s="10">
        <v>1</v>
      </c>
      <c r="G27" s="255" t="s">
        <v>175</v>
      </c>
      <c r="H27" s="286">
        <v>1</v>
      </c>
      <c r="I27" s="287" t="str">
        <f t="shared" si="10"/>
        <v/>
      </c>
      <c r="J27" s="202" t="str">
        <f t="shared" si="11"/>
        <v/>
      </c>
      <c r="K27" s="202" t="str">
        <f t="shared" si="12"/>
        <v/>
      </c>
      <c r="L27" s="202" t="str">
        <f t="shared" si="13"/>
        <v/>
      </c>
      <c r="M27" s="202">
        <f t="shared" si="14"/>
        <v>5</v>
      </c>
      <c r="N27" s="202" t="str">
        <f t="shared" si="15"/>
        <v/>
      </c>
      <c r="O27" s="287">
        <f t="shared" si="16"/>
        <v>5</v>
      </c>
      <c r="Q27" s="243" t="str">
        <f t="shared" si="17"/>
        <v>01</v>
      </c>
      <c r="R27" s="288" t="str">
        <f t="shared" si="18"/>
        <v>B.1.01</v>
      </c>
    </row>
    <row r="28" spans="1:18" ht="120" x14ac:dyDescent="0.25">
      <c r="A28" s="10">
        <v>26</v>
      </c>
      <c r="B28" s="280" t="str">
        <f t="shared" si="9"/>
        <v/>
      </c>
      <c r="C28" s="285"/>
      <c r="F28" s="10" t="s">
        <v>122</v>
      </c>
      <c r="G28" s="255" t="s">
        <v>218</v>
      </c>
      <c r="I28" s="287" t="str">
        <f t="shared" si="10"/>
        <v/>
      </c>
      <c r="J28" s="202" t="str">
        <f t="shared" si="11"/>
        <v/>
      </c>
      <c r="K28" s="202">
        <f t="shared" si="12"/>
        <v>3</v>
      </c>
      <c r="L28" s="202" t="str">
        <f t="shared" si="13"/>
        <v/>
      </c>
      <c r="M28" s="202" t="str">
        <f t="shared" si="14"/>
        <v/>
      </c>
      <c r="N28" s="202" t="str">
        <f t="shared" si="15"/>
        <v/>
      </c>
      <c r="O28" s="287">
        <f t="shared" si="16"/>
        <v>3</v>
      </c>
      <c r="Q28" s="243" t="str">
        <f t="shared" si="17"/>
        <v/>
      </c>
      <c r="R28" s="288" t="str">
        <f t="shared" si="18"/>
        <v/>
      </c>
    </row>
    <row r="29" spans="1:18" x14ac:dyDescent="0.25">
      <c r="A29" s="10">
        <v>27</v>
      </c>
      <c r="B29" s="280" t="str">
        <f t="shared" si="9"/>
        <v>B.2</v>
      </c>
      <c r="C29" s="285" t="s">
        <v>91</v>
      </c>
      <c r="D29" s="10">
        <v>2</v>
      </c>
      <c r="G29" s="255" t="s">
        <v>129</v>
      </c>
      <c r="I29" s="287" t="str">
        <f t="shared" si="10"/>
        <v/>
      </c>
      <c r="J29" s="202">
        <f t="shared" si="11"/>
        <v>2</v>
      </c>
      <c r="K29" s="202" t="str">
        <f t="shared" si="12"/>
        <v/>
      </c>
      <c r="L29" s="202" t="str">
        <f t="shared" si="13"/>
        <v/>
      </c>
      <c r="M29" s="202" t="str">
        <f t="shared" si="14"/>
        <v/>
      </c>
      <c r="N29" s="202" t="str">
        <f t="shared" si="15"/>
        <v/>
      </c>
      <c r="O29" s="287">
        <f t="shared" si="16"/>
        <v>2</v>
      </c>
      <c r="Q29" s="243" t="str">
        <f t="shared" si="17"/>
        <v/>
      </c>
      <c r="R29" s="288" t="str">
        <f t="shared" si="18"/>
        <v>B.2</v>
      </c>
    </row>
    <row r="30" spans="1:18" x14ac:dyDescent="0.25">
      <c r="A30" s="10">
        <v>28</v>
      </c>
      <c r="B30" s="280" t="str">
        <f t="shared" si="9"/>
        <v>B.2.01</v>
      </c>
      <c r="C30" s="285" t="s">
        <v>91</v>
      </c>
      <c r="D30" s="10">
        <v>2</v>
      </c>
      <c r="E30" s="10">
        <v>1</v>
      </c>
      <c r="G30" s="255" t="s">
        <v>176</v>
      </c>
      <c r="H30" s="286">
        <v>1</v>
      </c>
      <c r="I30" s="287" t="str">
        <f t="shared" si="10"/>
        <v/>
      </c>
      <c r="J30" s="202" t="str">
        <f t="shared" si="11"/>
        <v/>
      </c>
      <c r="K30" s="202" t="str">
        <f t="shared" si="12"/>
        <v/>
      </c>
      <c r="L30" s="202" t="str">
        <f t="shared" si="13"/>
        <v/>
      </c>
      <c r="M30" s="202">
        <f t="shared" si="14"/>
        <v>5</v>
      </c>
      <c r="N30" s="202" t="str">
        <f t="shared" si="15"/>
        <v/>
      </c>
      <c r="O30" s="287">
        <f t="shared" si="16"/>
        <v>5</v>
      </c>
      <c r="Q30" s="243" t="str">
        <f t="shared" si="17"/>
        <v>01</v>
      </c>
      <c r="R30" s="288" t="str">
        <f t="shared" si="18"/>
        <v>B.2.01</v>
      </c>
    </row>
    <row r="31" spans="1:18" ht="45" x14ac:dyDescent="0.25">
      <c r="A31" s="10">
        <v>29</v>
      </c>
      <c r="B31" s="280" t="str">
        <f t="shared" si="9"/>
        <v/>
      </c>
      <c r="C31" s="285"/>
      <c r="F31" s="10" t="s">
        <v>122</v>
      </c>
      <c r="G31" s="255" t="s">
        <v>177</v>
      </c>
      <c r="I31" s="287" t="str">
        <f t="shared" si="10"/>
        <v/>
      </c>
      <c r="J31" s="202" t="str">
        <f t="shared" si="11"/>
        <v/>
      </c>
      <c r="K31" s="202">
        <f t="shared" si="12"/>
        <v>3</v>
      </c>
      <c r="L31" s="202" t="str">
        <f t="shared" si="13"/>
        <v/>
      </c>
      <c r="M31" s="202" t="str">
        <f t="shared" si="14"/>
        <v/>
      </c>
      <c r="N31" s="202" t="str">
        <f t="shared" si="15"/>
        <v/>
      </c>
      <c r="O31" s="287">
        <f t="shared" si="16"/>
        <v>3</v>
      </c>
      <c r="Q31" s="243" t="str">
        <f t="shared" si="17"/>
        <v/>
      </c>
      <c r="R31" s="288" t="str">
        <f t="shared" si="18"/>
        <v/>
      </c>
    </row>
    <row r="32" spans="1:18" x14ac:dyDescent="0.25">
      <c r="A32" s="10">
        <v>30</v>
      </c>
      <c r="B32" s="280" t="str">
        <f t="shared" si="9"/>
        <v>B.3</v>
      </c>
      <c r="C32" s="285" t="s">
        <v>91</v>
      </c>
      <c r="D32" s="10">
        <v>3</v>
      </c>
      <c r="G32" s="255" t="s">
        <v>150</v>
      </c>
      <c r="I32" s="287" t="str">
        <f t="shared" si="10"/>
        <v/>
      </c>
      <c r="J32" s="202">
        <f t="shared" si="11"/>
        <v>2</v>
      </c>
      <c r="K32" s="202" t="str">
        <f t="shared" si="12"/>
        <v/>
      </c>
      <c r="L32" s="202" t="str">
        <f t="shared" si="13"/>
        <v/>
      </c>
      <c r="M32" s="202" t="str">
        <f t="shared" si="14"/>
        <v/>
      </c>
      <c r="N32" s="202" t="str">
        <f t="shared" si="15"/>
        <v/>
      </c>
      <c r="O32" s="287">
        <f t="shared" si="16"/>
        <v>2</v>
      </c>
      <c r="Q32" s="243" t="str">
        <f t="shared" si="17"/>
        <v/>
      </c>
      <c r="R32" s="288" t="str">
        <f t="shared" si="18"/>
        <v>B.3</v>
      </c>
    </row>
    <row r="33" spans="1:18" ht="30" x14ac:dyDescent="0.25">
      <c r="A33" s="10">
        <v>31</v>
      </c>
      <c r="B33" s="280" t="str">
        <f t="shared" si="9"/>
        <v>B.3.01</v>
      </c>
      <c r="C33" s="285" t="s">
        <v>91</v>
      </c>
      <c r="D33" s="10">
        <v>3</v>
      </c>
      <c r="E33" s="10">
        <v>1</v>
      </c>
      <c r="G33" s="255" t="s">
        <v>178</v>
      </c>
      <c r="H33" s="286">
        <v>1</v>
      </c>
      <c r="I33" s="287" t="str">
        <f t="shared" si="10"/>
        <v/>
      </c>
      <c r="J33" s="202" t="str">
        <f t="shared" si="11"/>
        <v/>
      </c>
      <c r="K33" s="202" t="str">
        <f t="shared" si="12"/>
        <v/>
      </c>
      <c r="L33" s="202" t="str">
        <f t="shared" si="13"/>
        <v/>
      </c>
      <c r="M33" s="202">
        <f t="shared" si="14"/>
        <v>5</v>
      </c>
      <c r="N33" s="202" t="str">
        <f t="shared" si="15"/>
        <v/>
      </c>
      <c r="O33" s="287">
        <f t="shared" si="16"/>
        <v>5</v>
      </c>
      <c r="Q33" s="243" t="str">
        <f t="shared" si="17"/>
        <v>01</v>
      </c>
      <c r="R33" s="288" t="str">
        <f t="shared" si="18"/>
        <v>B.3.01</v>
      </c>
    </row>
    <row r="34" spans="1:18" ht="105" x14ac:dyDescent="0.25">
      <c r="A34" s="10">
        <v>32</v>
      </c>
      <c r="B34" s="280" t="str">
        <f t="shared" si="9"/>
        <v/>
      </c>
      <c r="C34" s="285"/>
      <c r="F34" s="10" t="s">
        <v>122</v>
      </c>
      <c r="G34" s="255" t="s">
        <v>179</v>
      </c>
      <c r="I34" s="287" t="str">
        <f t="shared" si="10"/>
        <v/>
      </c>
      <c r="J34" s="202" t="str">
        <f t="shared" si="11"/>
        <v/>
      </c>
      <c r="K34" s="202">
        <f t="shared" si="12"/>
        <v>3</v>
      </c>
      <c r="L34" s="202" t="str">
        <f t="shared" si="13"/>
        <v/>
      </c>
      <c r="M34" s="202" t="str">
        <f t="shared" si="14"/>
        <v/>
      </c>
      <c r="N34" s="202" t="str">
        <f t="shared" si="15"/>
        <v/>
      </c>
      <c r="O34" s="287">
        <f t="shared" si="16"/>
        <v>3</v>
      </c>
      <c r="Q34" s="243" t="str">
        <f t="shared" si="17"/>
        <v/>
      </c>
      <c r="R34" s="288" t="str">
        <f t="shared" si="18"/>
        <v/>
      </c>
    </row>
    <row r="35" spans="1:18" x14ac:dyDescent="0.25">
      <c r="A35" s="10">
        <v>33</v>
      </c>
      <c r="B35" s="280" t="str">
        <f t="shared" si="9"/>
        <v>B.4</v>
      </c>
      <c r="C35" s="285" t="s">
        <v>91</v>
      </c>
      <c r="D35" s="10">
        <v>4</v>
      </c>
      <c r="G35" s="255" t="s">
        <v>93</v>
      </c>
      <c r="I35" s="287" t="str">
        <f t="shared" si="10"/>
        <v/>
      </c>
      <c r="J35" s="202">
        <f t="shared" si="11"/>
        <v>2</v>
      </c>
      <c r="K35" s="202" t="str">
        <f t="shared" si="12"/>
        <v/>
      </c>
      <c r="L35" s="202" t="str">
        <f t="shared" si="13"/>
        <v/>
      </c>
      <c r="M35" s="202" t="str">
        <f t="shared" si="14"/>
        <v/>
      </c>
      <c r="N35" s="202" t="str">
        <f t="shared" si="15"/>
        <v/>
      </c>
      <c r="O35" s="287">
        <f t="shared" si="16"/>
        <v>2</v>
      </c>
      <c r="Q35" s="243" t="str">
        <f t="shared" si="17"/>
        <v/>
      </c>
      <c r="R35" s="288" t="str">
        <f t="shared" si="18"/>
        <v>B.4</v>
      </c>
    </row>
    <row r="36" spans="1:18" ht="60" x14ac:dyDescent="0.25">
      <c r="A36" s="10">
        <v>34</v>
      </c>
      <c r="B36" s="280" t="str">
        <f t="shared" si="9"/>
        <v>B.4.01</v>
      </c>
      <c r="C36" s="285" t="s">
        <v>91</v>
      </c>
      <c r="D36" s="10">
        <v>4</v>
      </c>
      <c r="E36" s="10">
        <v>1</v>
      </c>
      <c r="G36" s="255" t="s">
        <v>180</v>
      </c>
      <c r="H36" s="286">
        <v>1</v>
      </c>
      <c r="I36" s="287" t="str">
        <f t="shared" si="10"/>
        <v/>
      </c>
      <c r="J36" s="202" t="str">
        <f t="shared" si="11"/>
        <v/>
      </c>
      <c r="K36" s="202" t="str">
        <f t="shared" si="12"/>
        <v/>
      </c>
      <c r="L36" s="202" t="str">
        <f t="shared" si="13"/>
        <v/>
      </c>
      <c r="M36" s="202">
        <f t="shared" si="14"/>
        <v>5</v>
      </c>
      <c r="N36" s="202" t="str">
        <f t="shared" si="15"/>
        <v/>
      </c>
      <c r="O36" s="287">
        <f t="shared" si="16"/>
        <v>5</v>
      </c>
      <c r="Q36" s="243" t="str">
        <f t="shared" si="17"/>
        <v>01</v>
      </c>
      <c r="R36" s="288" t="str">
        <f t="shared" si="18"/>
        <v>B.4.01</v>
      </c>
    </row>
    <row r="37" spans="1:18" ht="75" x14ac:dyDescent="0.25">
      <c r="A37" s="10">
        <v>35</v>
      </c>
      <c r="B37" s="280" t="str">
        <f t="shared" si="9"/>
        <v/>
      </c>
      <c r="C37" s="285"/>
      <c r="F37" s="10" t="s">
        <v>122</v>
      </c>
      <c r="G37" s="255" t="s">
        <v>215</v>
      </c>
      <c r="I37" s="287" t="str">
        <f t="shared" si="10"/>
        <v/>
      </c>
      <c r="J37" s="202" t="str">
        <f t="shared" si="11"/>
        <v/>
      </c>
      <c r="K37" s="202">
        <f t="shared" si="12"/>
        <v>3</v>
      </c>
      <c r="L37" s="202" t="str">
        <f t="shared" si="13"/>
        <v/>
      </c>
      <c r="M37" s="202" t="str">
        <f t="shared" si="14"/>
        <v/>
      </c>
      <c r="N37" s="202" t="str">
        <f t="shared" si="15"/>
        <v/>
      </c>
      <c r="O37" s="287">
        <f t="shared" si="16"/>
        <v>3</v>
      </c>
      <c r="Q37" s="243" t="str">
        <f t="shared" si="17"/>
        <v/>
      </c>
      <c r="R37" s="288" t="str">
        <f t="shared" si="18"/>
        <v/>
      </c>
    </row>
    <row r="38" spans="1:18" ht="120" x14ac:dyDescent="0.25">
      <c r="A38" s="10">
        <v>36</v>
      </c>
      <c r="B38" s="280" t="str">
        <f t="shared" si="9"/>
        <v/>
      </c>
      <c r="C38" s="285"/>
      <c r="G38" s="255" t="s">
        <v>216</v>
      </c>
      <c r="I38" s="287" t="str">
        <f t="shared" si="10"/>
        <v/>
      </c>
      <c r="J38" s="202" t="str">
        <f t="shared" si="11"/>
        <v/>
      </c>
      <c r="K38" s="202">
        <f t="shared" si="12"/>
        <v>3</v>
      </c>
      <c r="L38" s="202" t="str">
        <f t="shared" si="13"/>
        <v/>
      </c>
      <c r="M38" s="202" t="str">
        <f t="shared" si="14"/>
        <v/>
      </c>
      <c r="N38" s="202" t="str">
        <f t="shared" si="15"/>
        <v/>
      </c>
      <c r="O38" s="287">
        <f t="shared" si="16"/>
        <v>3</v>
      </c>
      <c r="Q38" s="243" t="str">
        <f t="shared" si="17"/>
        <v/>
      </c>
      <c r="R38" s="288" t="str">
        <f t="shared" si="18"/>
        <v/>
      </c>
    </row>
    <row r="39" spans="1:18" x14ac:dyDescent="0.25">
      <c r="A39" s="10">
        <v>37</v>
      </c>
      <c r="B39" s="280" t="str">
        <f t="shared" si="9"/>
        <v>B.5</v>
      </c>
      <c r="C39" s="285" t="s">
        <v>91</v>
      </c>
      <c r="D39" s="10">
        <v>5</v>
      </c>
      <c r="G39" s="255" t="s">
        <v>211</v>
      </c>
      <c r="I39" s="287" t="str">
        <f t="shared" si="10"/>
        <v/>
      </c>
      <c r="J39" s="202">
        <f t="shared" si="11"/>
        <v>2</v>
      </c>
      <c r="K39" s="202" t="str">
        <f t="shared" si="12"/>
        <v/>
      </c>
      <c r="L39" s="202" t="str">
        <f t="shared" si="13"/>
        <v/>
      </c>
      <c r="M39" s="202" t="str">
        <f t="shared" si="14"/>
        <v/>
      </c>
      <c r="N39" s="202" t="str">
        <f t="shared" si="15"/>
        <v/>
      </c>
      <c r="O39" s="287">
        <f t="shared" si="16"/>
        <v>2</v>
      </c>
      <c r="Q39" s="243" t="str">
        <f t="shared" si="17"/>
        <v/>
      </c>
      <c r="R39" s="288" t="str">
        <f t="shared" si="18"/>
        <v>B.5</v>
      </c>
    </row>
    <row r="40" spans="1:18" ht="30" x14ac:dyDescent="0.25">
      <c r="A40" s="10">
        <v>38</v>
      </c>
      <c r="B40" s="280" t="str">
        <f t="shared" si="9"/>
        <v>B.5.01</v>
      </c>
      <c r="C40" s="285" t="s">
        <v>91</v>
      </c>
      <c r="D40" s="10">
        <v>5</v>
      </c>
      <c r="E40" s="10">
        <v>1</v>
      </c>
      <c r="G40" s="255" t="s">
        <v>181</v>
      </c>
      <c r="H40" s="286">
        <v>1</v>
      </c>
      <c r="I40" s="287" t="str">
        <f t="shared" si="10"/>
        <v/>
      </c>
      <c r="J40" s="202" t="str">
        <f t="shared" si="11"/>
        <v/>
      </c>
      <c r="K40" s="202" t="str">
        <f t="shared" si="12"/>
        <v/>
      </c>
      <c r="L40" s="202" t="str">
        <f t="shared" si="13"/>
        <v/>
      </c>
      <c r="M40" s="202">
        <f t="shared" si="14"/>
        <v>5</v>
      </c>
      <c r="N40" s="202" t="str">
        <f t="shared" si="15"/>
        <v/>
      </c>
      <c r="O40" s="287">
        <f t="shared" si="16"/>
        <v>5</v>
      </c>
      <c r="Q40" s="243" t="str">
        <f t="shared" si="17"/>
        <v>01</v>
      </c>
      <c r="R40" s="288" t="str">
        <f t="shared" si="18"/>
        <v>B.5.01</v>
      </c>
    </row>
    <row r="41" spans="1:18" ht="135" x14ac:dyDescent="0.25">
      <c r="A41" s="10">
        <v>39</v>
      </c>
      <c r="B41" s="280" t="str">
        <f t="shared" si="9"/>
        <v/>
      </c>
      <c r="C41" s="285"/>
      <c r="F41" s="10" t="s">
        <v>122</v>
      </c>
      <c r="G41" s="255" t="s">
        <v>182</v>
      </c>
      <c r="I41" s="287" t="str">
        <f t="shared" si="10"/>
        <v/>
      </c>
      <c r="J41" s="202" t="str">
        <f t="shared" si="11"/>
        <v/>
      </c>
      <c r="K41" s="202">
        <f t="shared" si="12"/>
        <v>3</v>
      </c>
      <c r="L41" s="202" t="str">
        <f t="shared" si="13"/>
        <v/>
      </c>
      <c r="M41" s="202" t="str">
        <f t="shared" si="14"/>
        <v/>
      </c>
      <c r="N41" s="202" t="str">
        <f t="shared" si="15"/>
        <v/>
      </c>
      <c r="O41" s="287">
        <f t="shared" si="16"/>
        <v>3</v>
      </c>
      <c r="Q41" s="243" t="str">
        <f t="shared" si="17"/>
        <v/>
      </c>
      <c r="R41" s="288" t="str">
        <f t="shared" si="18"/>
        <v/>
      </c>
    </row>
    <row r="42" spans="1:18" x14ac:dyDescent="0.25">
      <c r="A42" s="10">
        <v>40</v>
      </c>
      <c r="B42" s="280" t="str">
        <f t="shared" si="9"/>
        <v>B.6</v>
      </c>
      <c r="C42" s="285" t="s">
        <v>91</v>
      </c>
      <c r="D42" s="10">
        <v>6</v>
      </c>
      <c r="G42" s="255" t="s">
        <v>130</v>
      </c>
      <c r="I42" s="287" t="str">
        <f t="shared" si="10"/>
        <v/>
      </c>
      <c r="J42" s="202">
        <f t="shared" si="11"/>
        <v>2</v>
      </c>
      <c r="K42" s="202" t="str">
        <f t="shared" si="12"/>
        <v/>
      </c>
      <c r="L42" s="202" t="str">
        <f t="shared" si="13"/>
        <v/>
      </c>
      <c r="M42" s="202" t="str">
        <f t="shared" si="14"/>
        <v/>
      </c>
      <c r="N42" s="202" t="str">
        <f t="shared" si="15"/>
        <v/>
      </c>
      <c r="O42" s="287">
        <f t="shared" si="16"/>
        <v>2</v>
      </c>
      <c r="Q42" s="243" t="str">
        <f t="shared" si="17"/>
        <v/>
      </c>
      <c r="R42" s="288" t="str">
        <f t="shared" si="18"/>
        <v>B.6</v>
      </c>
    </row>
    <row r="43" spans="1:18" x14ac:dyDescent="0.25">
      <c r="A43" s="10">
        <v>41</v>
      </c>
      <c r="B43" s="280" t="str">
        <f t="shared" si="9"/>
        <v>B.6.01</v>
      </c>
      <c r="C43" s="285" t="s">
        <v>91</v>
      </c>
      <c r="D43" s="10">
        <v>6</v>
      </c>
      <c r="E43" s="10">
        <v>1</v>
      </c>
      <c r="G43" s="255" t="s">
        <v>151</v>
      </c>
      <c r="H43" s="286">
        <v>1</v>
      </c>
      <c r="I43" s="287" t="str">
        <f t="shared" si="10"/>
        <v/>
      </c>
      <c r="J43" s="202" t="str">
        <f t="shared" si="11"/>
        <v/>
      </c>
      <c r="K43" s="202" t="str">
        <f t="shared" si="12"/>
        <v/>
      </c>
      <c r="L43" s="202" t="str">
        <f t="shared" si="13"/>
        <v/>
      </c>
      <c r="M43" s="202">
        <f t="shared" si="14"/>
        <v>5</v>
      </c>
      <c r="N43" s="202" t="str">
        <f t="shared" si="15"/>
        <v/>
      </c>
      <c r="O43" s="287">
        <f t="shared" si="16"/>
        <v>5</v>
      </c>
      <c r="Q43" s="243" t="str">
        <f t="shared" si="17"/>
        <v>01</v>
      </c>
      <c r="R43" s="288" t="str">
        <f t="shared" si="18"/>
        <v>B.6.01</v>
      </c>
    </row>
    <row r="44" spans="1:18" ht="75" x14ac:dyDescent="0.25">
      <c r="A44" s="10">
        <v>42</v>
      </c>
      <c r="B44" s="280" t="str">
        <f t="shared" si="9"/>
        <v/>
      </c>
      <c r="C44" s="285"/>
      <c r="F44" s="10" t="s">
        <v>122</v>
      </c>
      <c r="G44" s="255" t="s">
        <v>183</v>
      </c>
      <c r="I44" s="287" t="str">
        <f t="shared" si="10"/>
        <v/>
      </c>
      <c r="J44" s="202" t="str">
        <f t="shared" si="11"/>
        <v/>
      </c>
      <c r="K44" s="202">
        <f t="shared" si="12"/>
        <v>3</v>
      </c>
      <c r="L44" s="202" t="str">
        <f t="shared" si="13"/>
        <v/>
      </c>
      <c r="M44" s="202" t="str">
        <f t="shared" si="14"/>
        <v/>
      </c>
      <c r="N44" s="202" t="str">
        <f t="shared" si="15"/>
        <v/>
      </c>
      <c r="O44" s="287">
        <f t="shared" si="16"/>
        <v>3</v>
      </c>
      <c r="Q44" s="243" t="str">
        <f t="shared" si="17"/>
        <v/>
      </c>
      <c r="R44" s="288" t="str">
        <f t="shared" si="18"/>
        <v/>
      </c>
    </row>
    <row r="45" spans="1:18" x14ac:dyDescent="0.25">
      <c r="A45" s="10">
        <v>43</v>
      </c>
      <c r="B45" s="280" t="str">
        <f t="shared" si="9"/>
        <v>B.7</v>
      </c>
      <c r="C45" s="285" t="s">
        <v>91</v>
      </c>
      <c r="D45" s="10">
        <v>7</v>
      </c>
      <c r="G45" s="255" t="s">
        <v>152</v>
      </c>
      <c r="I45" s="287" t="str">
        <f t="shared" si="10"/>
        <v/>
      </c>
      <c r="J45" s="202">
        <f t="shared" si="11"/>
        <v>2</v>
      </c>
      <c r="K45" s="202" t="str">
        <f t="shared" si="12"/>
        <v/>
      </c>
      <c r="L45" s="202" t="str">
        <f t="shared" si="13"/>
        <v/>
      </c>
      <c r="M45" s="202" t="str">
        <f t="shared" si="14"/>
        <v/>
      </c>
      <c r="N45" s="202" t="str">
        <f t="shared" si="15"/>
        <v/>
      </c>
      <c r="O45" s="287">
        <f t="shared" si="16"/>
        <v>2</v>
      </c>
      <c r="Q45" s="243" t="str">
        <f t="shared" si="17"/>
        <v/>
      </c>
      <c r="R45" s="288" t="str">
        <f t="shared" si="18"/>
        <v>B.7</v>
      </c>
    </row>
    <row r="46" spans="1:18" ht="45" x14ac:dyDescent="0.25">
      <c r="A46" s="10">
        <v>44</v>
      </c>
      <c r="B46" s="280" t="str">
        <f t="shared" si="9"/>
        <v>B.7.01</v>
      </c>
      <c r="C46" s="285" t="s">
        <v>91</v>
      </c>
      <c r="D46" s="10">
        <v>7</v>
      </c>
      <c r="E46" s="10">
        <v>1</v>
      </c>
      <c r="G46" s="255" t="s">
        <v>184</v>
      </c>
      <c r="H46" s="286">
        <v>1</v>
      </c>
      <c r="I46" s="287" t="str">
        <f t="shared" si="10"/>
        <v/>
      </c>
      <c r="J46" s="202" t="str">
        <f t="shared" si="11"/>
        <v/>
      </c>
      <c r="K46" s="202" t="str">
        <f t="shared" si="12"/>
        <v/>
      </c>
      <c r="L46" s="202" t="str">
        <f t="shared" si="13"/>
        <v/>
      </c>
      <c r="M46" s="202">
        <f t="shared" si="14"/>
        <v>5</v>
      </c>
      <c r="N46" s="202" t="str">
        <f t="shared" si="15"/>
        <v/>
      </c>
      <c r="O46" s="287">
        <f t="shared" si="16"/>
        <v>5</v>
      </c>
      <c r="Q46" s="243" t="str">
        <f t="shared" si="17"/>
        <v>01</v>
      </c>
      <c r="R46" s="288" t="str">
        <f t="shared" si="18"/>
        <v>B.7.01</v>
      </c>
    </row>
    <row r="47" spans="1:18" ht="60" x14ac:dyDescent="0.25">
      <c r="A47" s="10">
        <v>45</v>
      </c>
      <c r="B47" s="280" t="str">
        <f t="shared" si="9"/>
        <v/>
      </c>
      <c r="C47" s="285"/>
      <c r="F47" s="10" t="s">
        <v>122</v>
      </c>
      <c r="G47" s="255" t="s">
        <v>219</v>
      </c>
      <c r="I47" s="287" t="str">
        <f t="shared" si="10"/>
        <v/>
      </c>
      <c r="J47" s="202" t="str">
        <f t="shared" si="11"/>
        <v/>
      </c>
      <c r="K47" s="202">
        <f t="shared" si="12"/>
        <v>3</v>
      </c>
      <c r="L47" s="202" t="str">
        <f t="shared" si="13"/>
        <v/>
      </c>
      <c r="M47" s="202" t="str">
        <f t="shared" si="14"/>
        <v/>
      </c>
      <c r="N47" s="202" t="str">
        <f t="shared" si="15"/>
        <v/>
      </c>
      <c r="O47" s="287">
        <f t="shared" si="16"/>
        <v>3</v>
      </c>
      <c r="Q47" s="243" t="str">
        <f t="shared" si="17"/>
        <v/>
      </c>
      <c r="R47" s="288" t="str">
        <f t="shared" si="18"/>
        <v/>
      </c>
    </row>
    <row r="48" spans="1:18" x14ac:dyDescent="0.25">
      <c r="A48" s="10">
        <v>46</v>
      </c>
      <c r="B48" s="280" t="str">
        <f t="shared" si="9"/>
        <v>B.8</v>
      </c>
      <c r="C48" s="285" t="s">
        <v>91</v>
      </c>
      <c r="D48" s="10">
        <v>8</v>
      </c>
      <c r="G48" s="255" t="s">
        <v>153</v>
      </c>
      <c r="I48" s="287" t="str">
        <f t="shared" si="10"/>
        <v/>
      </c>
      <c r="J48" s="202">
        <f t="shared" si="11"/>
        <v>2</v>
      </c>
      <c r="K48" s="202" t="str">
        <f t="shared" si="12"/>
        <v/>
      </c>
      <c r="L48" s="202" t="str">
        <f t="shared" si="13"/>
        <v/>
      </c>
      <c r="M48" s="202" t="str">
        <f t="shared" si="14"/>
        <v/>
      </c>
      <c r="N48" s="202" t="str">
        <f t="shared" si="15"/>
        <v/>
      </c>
      <c r="O48" s="287">
        <f t="shared" si="16"/>
        <v>2</v>
      </c>
      <c r="Q48" s="243" t="str">
        <f t="shared" si="17"/>
        <v/>
      </c>
      <c r="R48" s="288" t="str">
        <f t="shared" si="18"/>
        <v>B.8</v>
      </c>
    </row>
    <row r="49" spans="1:18" ht="45" x14ac:dyDescent="0.25">
      <c r="A49" s="10">
        <v>47</v>
      </c>
      <c r="B49" s="280" t="str">
        <f t="shared" si="9"/>
        <v>B.8.01</v>
      </c>
      <c r="C49" s="285" t="s">
        <v>91</v>
      </c>
      <c r="D49" s="10">
        <v>8</v>
      </c>
      <c r="E49" s="10">
        <v>1</v>
      </c>
      <c r="G49" s="255" t="s">
        <v>220</v>
      </c>
      <c r="H49" s="286">
        <v>1</v>
      </c>
      <c r="I49" s="287" t="str">
        <f t="shared" si="10"/>
        <v/>
      </c>
      <c r="J49" s="202" t="str">
        <f t="shared" si="11"/>
        <v/>
      </c>
      <c r="K49" s="202" t="str">
        <f t="shared" si="12"/>
        <v/>
      </c>
      <c r="L49" s="202" t="str">
        <f t="shared" si="13"/>
        <v/>
      </c>
      <c r="M49" s="202">
        <f t="shared" si="14"/>
        <v>5</v>
      </c>
      <c r="N49" s="202" t="str">
        <f t="shared" si="15"/>
        <v/>
      </c>
      <c r="O49" s="287">
        <f t="shared" si="16"/>
        <v>5</v>
      </c>
      <c r="Q49" s="243" t="str">
        <f t="shared" si="17"/>
        <v>01</v>
      </c>
      <c r="R49" s="288" t="str">
        <f t="shared" si="18"/>
        <v>B.8.01</v>
      </c>
    </row>
    <row r="50" spans="1:18" ht="75" x14ac:dyDescent="0.25">
      <c r="A50" s="10">
        <v>48</v>
      </c>
      <c r="B50" s="280" t="str">
        <f t="shared" si="9"/>
        <v/>
      </c>
      <c r="C50" s="285"/>
      <c r="F50" s="10" t="s">
        <v>122</v>
      </c>
      <c r="G50" s="255" t="s">
        <v>217</v>
      </c>
      <c r="I50" s="287" t="str">
        <f t="shared" si="10"/>
        <v/>
      </c>
      <c r="J50" s="202" t="str">
        <f t="shared" si="11"/>
        <v/>
      </c>
      <c r="K50" s="202">
        <f t="shared" si="12"/>
        <v>3</v>
      </c>
      <c r="L50" s="202" t="str">
        <f t="shared" si="13"/>
        <v/>
      </c>
      <c r="M50" s="202" t="str">
        <f t="shared" si="14"/>
        <v/>
      </c>
      <c r="N50" s="202" t="str">
        <f t="shared" si="15"/>
        <v/>
      </c>
      <c r="O50" s="287">
        <f t="shared" si="16"/>
        <v>3</v>
      </c>
      <c r="Q50" s="243" t="str">
        <f t="shared" si="17"/>
        <v/>
      </c>
      <c r="R50" s="288" t="str">
        <f t="shared" si="18"/>
        <v/>
      </c>
    </row>
    <row r="51" spans="1:18" x14ac:dyDescent="0.25">
      <c r="A51" s="10">
        <v>49</v>
      </c>
      <c r="B51" s="280" t="str">
        <f t="shared" si="9"/>
        <v>B.9</v>
      </c>
      <c r="C51" s="285" t="s">
        <v>91</v>
      </c>
      <c r="D51" s="10">
        <v>9</v>
      </c>
      <c r="G51" s="255" t="s">
        <v>154</v>
      </c>
      <c r="I51" s="287" t="str">
        <f t="shared" si="10"/>
        <v/>
      </c>
      <c r="J51" s="202">
        <f t="shared" si="11"/>
        <v>2</v>
      </c>
      <c r="K51" s="202" t="str">
        <f t="shared" si="12"/>
        <v/>
      </c>
      <c r="L51" s="202" t="str">
        <f t="shared" si="13"/>
        <v/>
      </c>
      <c r="M51" s="202" t="str">
        <f t="shared" si="14"/>
        <v/>
      </c>
      <c r="N51" s="202" t="str">
        <f t="shared" si="15"/>
        <v/>
      </c>
      <c r="O51" s="287">
        <f t="shared" si="16"/>
        <v>2</v>
      </c>
      <c r="Q51" s="243" t="str">
        <f t="shared" si="17"/>
        <v/>
      </c>
      <c r="R51" s="288" t="str">
        <f t="shared" si="18"/>
        <v>B.9</v>
      </c>
    </row>
    <row r="52" spans="1:18" x14ac:dyDescent="0.25">
      <c r="A52" s="10">
        <v>50</v>
      </c>
      <c r="B52" s="280" t="str">
        <f t="shared" si="9"/>
        <v>B.9.01</v>
      </c>
      <c r="C52" s="285" t="s">
        <v>91</v>
      </c>
      <c r="D52" s="10">
        <v>9</v>
      </c>
      <c r="E52" s="10">
        <v>1</v>
      </c>
      <c r="G52" s="255" t="s">
        <v>185</v>
      </c>
      <c r="H52" s="286">
        <v>1</v>
      </c>
      <c r="I52" s="287" t="str">
        <f t="shared" si="10"/>
        <v/>
      </c>
      <c r="J52" s="202" t="str">
        <f t="shared" si="11"/>
        <v/>
      </c>
      <c r="K52" s="202" t="str">
        <f t="shared" si="12"/>
        <v/>
      </c>
      <c r="L52" s="202" t="str">
        <f t="shared" si="13"/>
        <v/>
      </c>
      <c r="M52" s="202">
        <f t="shared" si="14"/>
        <v>5</v>
      </c>
      <c r="N52" s="202" t="str">
        <f t="shared" si="15"/>
        <v/>
      </c>
      <c r="O52" s="287">
        <f t="shared" si="16"/>
        <v>5</v>
      </c>
      <c r="Q52" s="243" t="str">
        <f t="shared" si="17"/>
        <v>01</v>
      </c>
      <c r="R52" s="288" t="str">
        <f t="shared" si="18"/>
        <v>B.9.01</v>
      </c>
    </row>
    <row r="53" spans="1:18" ht="60" x14ac:dyDescent="0.25">
      <c r="A53" s="10">
        <v>51</v>
      </c>
      <c r="B53" s="280" t="str">
        <f t="shared" si="9"/>
        <v/>
      </c>
      <c r="C53" s="285"/>
      <c r="F53" s="10" t="s">
        <v>122</v>
      </c>
      <c r="G53" s="255" t="s">
        <v>186</v>
      </c>
      <c r="I53" s="287" t="str">
        <f t="shared" si="10"/>
        <v/>
      </c>
      <c r="J53" s="202" t="str">
        <f t="shared" si="11"/>
        <v/>
      </c>
      <c r="K53" s="202">
        <f t="shared" si="12"/>
        <v>3</v>
      </c>
      <c r="L53" s="202" t="str">
        <f t="shared" si="13"/>
        <v/>
      </c>
      <c r="M53" s="202" t="str">
        <f t="shared" si="14"/>
        <v/>
      </c>
      <c r="N53" s="202" t="str">
        <f t="shared" si="15"/>
        <v/>
      </c>
      <c r="O53" s="287">
        <f t="shared" si="16"/>
        <v>3</v>
      </c>
      <c r="Q53" s="243" t="str">
        <f t="shared" si="17"/>
        <v/>
      </c>
      <c r="R53" s="288" t="str">
        <f t="shared" si="18"/>
        <v/>
      </c>
    </row>
    <row r="54" spans="1:18" x14ac:dyDescent="0.25">
      <c r="A54" s="10">
        <v>52</v>
      </c>
      <c r="B54" s="280" t="str">
        <f t="shared" si="9"/>
        <v>C</v>
      </c>
      <c r="C54" s="285" t="s">
        <v>92</v>
      </c>
      <c r="G54" s="255" t="s">
        <v>155</v>
      </c>
      <c r="I54" s="287">
        <f t="shared" si="10"/>
        <v>1</v>
      </c>
      <c r="J54" s="202" t="str">
        <f t="shared" si="11"/>
        <v/>
      </c>
      <c r="K54" s="202" t="str">
        <f t="shared" si="12"/>
        <v/>
      </c>
      <c r="L54" s="202" t="str">
        <f t="shared" si="13"/>
        <v/>
      </c>
      <c r="M54" s="202" t="str">
        <f t="shared" si="14"/>
        <v/>
      </c>
      <c r="N54" s="202" t="str">
        <f t="shared" si="15"/>
        <v/>
      </c>
      <c r="O54" s="287">
        <f t="shared" si="16"/>
        <v>1</v>
      </c>
      <c r="Q54" s="243" t="str">
        <f t="shared" si="17"/>
        <v/>
      </c>
      <c r="R54" s="288" t="str">
        <f t="shared" si="18"/>
        <v>C</v>
      </c>
    </row>
    <row r="55" spans="1:18" x14ac:dyDescent="0.25">
      <c r="A55" s="10">
        <v>53</v>
      </c>
      <c r="B55" s="280" t="str">
        <f t="shared" si="9"/>
        <v>C.1</v>
      </c>
      <c r="C55" s="285" t="s">
        <v>92</v>
      </c>
      <c r="D55" s="10">
        <v>1</v>
      </c>
      <c r="G55" s="255" t="s">
        <v>226</v>
      </c>
      <c r="I55" s="287" t="str">
        <f t="shared" si="10"/>
        <v/>
      </c>
      <c r="J55" s="202">
        <f t="shared" si="11"/>
        <v>2</v>
      </c>
      <c r="K55" s="202" t="str">
        <f t="shared" si="12"/>
        <v/>
      </c>
      <c r="L55" s="202" t="str">
        <f t="shared" si="13"/>
        <v/>
      </c>
      <c r="M55" s="202" t="str">
        <f t="shared" si="14"/>
        <v/>
      </c>
      <c r="N55" s="202" t="str">
        <f t="shared" si="15"/>
        <v/>
      </c>
      <c r="O55" s="287">
        <f t="shared" si="16"/>
        <v>2</v>
      </c>
      <c r="Q55" s="243" t="str">
        <f t="shared" si="17"/>
        <v/>
      </c>
      <c r="R55" s="288" t="str">
        <f t="shared" si="18"/>
        <v>C.1</v>
      </c>
    </row>
    <row r="56" spans="1:18" ht="30" x14ac:dyDescent="0.25">
      <c r="A56" s="10">
        <v>54</v>
      </c>
      <c r="B56" s="280" t="str">
        <f t="shared" si="9"/>
        <v>C.1.01</v>
      </c>
      <c r="C56" s="285" t="s">
        <v>92</v>
      </c>
      <c r="D56" s="10">
        <v>1</v>
      </c>
      <c r="E56" s="10">
        <v>1</v>
      </c>
      <c r="G56" s="255" t="s">
        <v>187</v>
      </c>
      <c r="H56" s="286">
        <v>1</v>
      </c>
      <c r="I56" s="287" t="str">
        <f t="shared" si="10"/>
        <v/>
      </c>
      <c r="J56" s="202" t="str">
        <f t="shared" si="11"/>
        <v/>
      </c>
      <c r="K56" s="202" t="str">
        <f t="shared" si="12"/>
        <v/>
      </c>
      <c r="L56" s="202" t="str">
        <f t="shared" si="13"/>
        <v/>
      </c>
      <c r="M56" s="202">
        <f t="shared" si="14"/>
        <v>5</v>
      </c>
      <c r="N56" s="202" t="str">
        <f t="shared" si="15"/>
        <v/>
      </c>
      <c r="O56" s="287">
        <f t="shared" si="16"/>
        <v>5</v>
      </c>
      <c r="Q56" s="243" t="str">
        <f t="shared" si="17"/>
        <v>01</v>
      </c>
      <c r="R56" s="288" t="str">
        <f t="shared" si="18"/>
        <v>C.1.01</v>
      </c>
    </row>
    <row r="57" spans="1:18" ht="75" x14ac:dyDescent="0.25">
      <c r="A57" s="10">
        <v>55</v>
      </c>
      <c r="B57" s="280" t="str">
        <f t="shared" si="9"/>
        <v/>
      </c>
      <c r="C57" s="285"/>
      <c r="F57" s="10" t="s">
        <v>122</v>
      </c>
      <c r="G57" s="255" t="s">
        <v>156</v>
      </c>
      <c r="I57" s="287" t="str">
        <f t="shared" si="10"/>
        <v/>
      </c>
      <c r="J57" s="202" t="str">
        <f t="shared" si="11"/>
        <v/>
      </c>
      <c r="K57" s="202">
        <f t="shared" si="12"/>
        <v>3</v>
      </c>
      <c r="L57" s="202" t="str">
        <f t="shared" si="13"/>
        <v/>
      </c>
      <c r="M57" s="202" t="str">
        <f t="shared" si="14"/>
        <v/>
      </c>
      <c r="N57" s="202" t="str">
        <f t="shared" si="15"/>
        <v/>
      </c>
      <c r="O57" s="287">
        <f t="shared" si="16"/>
        <v>3</v>
      </c>
      <c r="Q57" s="243" t="str">
        <f t="shared" si="17"/>
        <v/>
      </c>
      <c r="R57" s="288" t="str">
        <f t="shared" si="18"/>
        <v/>
      </c>
    </row>
    <row r="58" spans="1:18" x14ac:dyDescent="0.25">
      <c r="A58" s="10">
        <v>56</v>
      </c>
      <c r="B58" s="280" t="str">
        <f t="shared" si="9"/>
        <v>C.2</v>
      </c>
      <c r="C58" s="285" t="s">
        <v>92</v>
      </c>
      <c r="D58" s="10">
        <v>2</v>
      </c>
      <c r="G58" s="255" t="s">
        <v>131</v>
      </c>
      <c r="I58" s="287" t="str">
        <f t="shared" ref="I58" si="19">IF(AND(LEN(C58)=1,LEN(D58)=0),1,"")</f>
        <v/>
      </c>
      <c r="J58" s="202">
        <f t="shared" ref="J58" si="20">IF(AND(LEN(C58)=1,LEN(D58)=1,LEN(E58)=0,LEN(F58)=0),2,"")</f>
        <v>2</v>
      </c>
      <c r="K58" s="202" t="str">
        <f t="shared" ref="K58" si="21">IF(AND(LEN(C58)=0,LEN(E58)=0),3,"")</f>
        <v/>
      </c>
      <c r="L58" s="202" t="str">
        <f t="shared" ref="L58" si="22">IF(AND(LEN(C58)&gt;0,LEN(D58&gt;0),LEN(E58)&gt;0,LEN(F58)=0,H58="N/A"),4,"")</f>
        <v/>
      </c>
      <c r="M58" s="202" t="str">
        <f t="shared" ref="M58" si="23">IF(AND(LEN(C58)&gt;0,LEN(D58&gt;0),LEN(E58)&gt;0,LEN(F58)=0,H58&gt;0,H58&lt;6),5,"")</f>
        <v/>
      </c>
      <c r="N58" s="202" t="str">
        <f t="shared" ref="N58" si="24">IF(AND(LEN(C58)&gt;0,LEN(D58&gt;0),LEN(E58)&gt;0,LEN(F58)&gt;0,H58&gt;0,H58&lt;6),6,"")</f>
        <v/>
      </c>
      <c r="O58" s="287">
        <f t="shared" ref="O58" si="25">SUM(I58:N58)</f>
        <v>2</v>
      </c>
      <c r="Q58" s="243" t="str">
        <f t="shared" ref="Q58" si="26">IF(LEN(E58)&gt;0,TEXT(E58,"00"),"")</f>
        <v/>
      </c>
      <c r="R58" s="288" t="str">
        <f t="shared" ref="R58" si="27">IF(O58=1,C58,IF(O58=2,C58&amp;"."&amp;D58,IF(O58=3,"",IF(O58=4,C58&amp;"."&amp;D58&amp;"."&amp;Q58,IF(O58=5,C58&amp;"."&amp;D58&amp;"."&amp;Q58,IF(O58=6,C58&amp;"."&amp;D58&amp;"."&amp;Q58&amp;F58,""))))))</f>
        <v>C.2</v>
      </c>
    </row>
    <row r="59" spans="1:18" ht="30" x14ac:dyDescent="0.25">
      <c r="A59" s="10">
        <v>57</v>
      </c>
      <c r="B59" s="280" t="str">
        <f t="shared" si="9"/>
        <v>C.2.01</v>
      </c>
      <c r="C59" s="285" t="s">
        <v>92</v>
      </c>
      <c r="D59" s="10">
        <v>2</v>
      </c>
      <c r="E59" s="10">
        <v>1</v>
      </c>
      <c r="G59" s="255" t="s">
        <v>125</v>
      </c>
      <c r="H59" s="286">
        <v>1</v>
      </c>
      <c r="I59" s="287" t="str">
        <f t="shared" si="10"/>
        <v/>
      </c>
      <c r="J59" s="202" t="str">
        <f t="shared" si="11"/>
        <v/>
      </c>
      <c r="K59" s="202" t="str">
        <f t="shared" si="12"/>
        <v/>
      </c>
      <c r="L59" s="202" t="str">
        <f t="shared" si="13"/>
        <v/>
      </c>
      <c r="M59" s="202">
        <f t="shared" si="14"/>
        <v>5</v>
      </c>
      <c r="N59" s="202" t="str">
        <f t="shared" si="15"/>
        <v/>
      </c>
      <c r="O59" s="287">
        <f t="shared" si="16"/>
        <v>5</v>
      </c>
      <c r="Q59" s="243" t="str">
        <f t="shared" si="17"/>
        <v>01</v>
      </c>
      <c r="R59" s="288" t="str">
        <f t="shared" si="18"/>
        <v>C.2.01</v>
      </c>
    </row>
    <row r="60" spans="1:18" ht="45" x14ac:dyDescent="0.25">
      <c r="A60" s="10">
        <v>58</v>
      </c>
      <c r="B60" s="280" t="str">
        <f t="shared" si="9"/>
        <v/>
      </c>
      <c r="C60" s="285"/>
      <c r="F60" s="10" t="s">
        <v>122</v>
      </c>
      <c r="G60" s="255" t="s">
        <v>188</v>
      </c>
      <c r="I60" s="287" t="str">
        <f t="shared" si="10"/>
        <v/>
      </c>
      <c r="J60" s="202" t="str">
        <f t="shared" si="11"/>
        <v/>
      </c>
      <c r="K60" s="202">
        <f t="shared" si="12"/>
        <v>3</v>
      </c>
      <c r="L60" s="202" t="str">
        <f t="shared" si="13"/>
        <v/>
      </c>
      <c r="M60" s="202" t="str">
        <f t="shared" si="14"/>
        <v/>
      </c>
      <c r="N60" s="202" t="str">
        <f t="shared" si="15"/>
        <v/>
      </c>
      <c r="O60" s="287">
        <f t="shared" si="16"/>
        <v>3</v>
      </c>
      <c r="Q60" s="243" t="str">
        <f t="shared" si="17"/>
        <v/>
      </c>
      <c r="R60" s="288" t="str">
        <f t="shared" si="18"/>
        <v/>
      </c>
    </row>
    <row r="61" spans="1:18" x14ac:dyDescent="0.25">
      <c r="A61" s="10">
        <v>59</v>
      </c>
      <c r="B61" s="280" t="str">
        <f t="shared" si="9"/>
        <v>C.3</v>
      </c>
      <c r="C61" s="285" t="s">
        <v>92</v>
      </c>
      <c r="D61" s="10">
        <v>3</v>
      </c>
      <c r="G61" s="255" t="s">
        <v>227</v>
      </c>
      <c r="I61" s="287" t="str">
        <f t="shared" si="10"/>
        <v/>
      </c>
      <c r="J61" s="202">
        <f t="shared" si="11"/>
        <v>2</v>
      </c>
      <c r="K61" s="202" t="str">
        <f t="shared" si="12"/>
        <v/>
      </c>
      <c r="L61" s="202" t="str">
        <f t="shared" si="13"/>
        <v/>
      </c>
      <c r="M61" s="202" t="str">
        <f t="shared" si="14"/>
        <v/>
      </c>
      <c r="N61" s="202" t="str">
        <f t="shared" si="15"/>
        <v/>
      </c>
      <c r="O61" s="287">
        <f t="shared" si="16"/>
        <v>2</v>
      </c>
      <c r="Q61" s="243" t="str">
        <f t="shared" si="17"/>
        <v/>
      </c>
      <c r="R61" s="288" t="str">
        <f t="shared" si="18"/>
        <v>C.3</v>
      </c>
    </row>
    <row r="62" spans="1:18" x14ac:dyDescent="0.25">
      <c r="A62" s="10">
        <v>60</v>
      </c>
      <c r="B62" s="280" t="str">
        <f t="shared" si="9"/>
        <v>C.3.01</v>
      </c>
      <c r="C62" s="285" t="s">
        <v>92</v>
      </c>
      <c r="D62" s="10">
        <v>3</v>
      </c>
      <c r="E62" s="10">
        <v>1</v>
      </c>
      <c r="G62" s="255" t="s">
        <v>221</v>
      </c>
      <c r="H62" s="286">
        <v>1</v>
      </c>
      <c r="I62" s="287" t="str">
        <f t="shared" si="10"/>
        <v/>
      </c>
      <c r="J62" s="202" t="str">
        <f t="shared" si="11"/>
        <v/>
      </c>
      <c r="K62" s="202" t="str">
        <f t="shared" si="12"/>
        <v/>
      </c>
      <c r="L62" s="202" t="str">
        <f t="shared" si="13"/>
        <v/>
      </c>
      <c r="M62" s="202">
        <f t="shared" si="14"/>
        <v>5</v>
      </c>
      <c r="N62" s="202" t="str">
        <f t="shared" si="15"/>
        <v/>
      </c>
      <c r="O62" s="287">
        <f t="shared" si="16"/>
        <v>5</v>
      </c>
      <c r="Q62" s="243" t="str">
        <f t="shared" si="17"/>
        <v>01</v>
      </c>
      <c r="R62" s="288" t="str">
        <f t="shared" si="18"/>
        <v>C.3.01</v>
      </c>
    </row>
    <row r="63" spans="1:18" ht="60" x14ac:dyDescent="0.25">
      <c r="A63" s="10">
        <v>61</v>
      </c>
      <c r="B63" s="280" t="str">
        <f t="shared" si="9"/>
        <v/>
      </c>
      <c r="C63" s="285"/>
      <c r="F63" s="10" t="s">
        <v>122</v>
      </c>
      <c r="G63" s="255" t="s">
        <v>189</v>
      </c>
      <c r="I63" s="287" t="str">
        <f t="shared" si="10"/>
        <v/>
      </c>
      <c r="J63" s="202" t="str">
        <f t="shared" si="11"/>
        <v/>
      </c>
      <c r="K63" s="202">
        <f t="shared" si="12"/>
        <v>3</v>
      </c>
      <c r="L63" s="202" t="str">
        <f t="shared" si="13"/>
        <v/>
      </c>
      <c r="M63" s="202" t="str">
        <f t="shared" si="14"/>
        <v/>
      </c>
      <c r="N63" s="202" t="str">
        <f t="shared" si="15"/>
        <v/>
      </c>
      <c r="O63" s="287">
        <f t="shared" si="16"/>
        <v>3</v>
      </c>
      <c r="Q63" s="243" t="str">
        <f t="shared" si="17"/>
        <v/>
      </c>
      <c r="R63" s="288" t="str">
        <f t="shared" si="18"/>
        <v/>
      </c>
    </row>
    <row r="64" spans="1:18" x14ac:dyDescent="0.25">
      <c r="A64" s="10">
        <v>62</v>
      </c>
      <c r="B64" s="280" t="str">
        <f t="shared" si="9"/>
        <v>C.4</v>
      </c>
      <c r="C64" s="285" t="s">
        <v>92</v>
      </c>
      <c r="D64" s="10">
        <v>4</v>
      </c>
      <c r="G64" s="255" t="s">
        <v>228</v>
      </c>
      <c r="I64" s="287" t="str">
        <f t="shared" si="10"/>
        <v/>
      </c>
      <c r="J64" s="202">
        <f t="shared" si="11"/>
        <v>2</v>
      </c>
      <c r="K64" s="202" t="str">
        <f t="shared" si="12"/>
        <v/>
      </c>
      <c r="L64" s="202" t="str">
        <f t="shared" si="13"/>
        <v/>
      </c>
      <c r="M64" s="202" t="str">
        <f t="shared" si="14"/>
        <v/>
      </c>
      <c r="N64" s="202" t="str">
        <f t="shared" si="15"/>
        <v/>
      </c>
      <c r="O64" s="287">
        <f t="shared" si="16"/>
        <v>2</v>
      </c>
      <c r="Q64" s="243" t="str">
        <f t="shared" si="17"/>
        <v/>
      </c>
      <c r="R64" s="288" t="str">
        <f t="shared" si="18"/>
        <v>C.4</v>
      </c>
    </row>
    <row r="65" spans="1:18" x14ac:dyDescent="0.25">
      <c r="A65" s="10">
        <v>63</v>
      </c>
      <c r="B65" s="280" t="str">
        <f t="shared" si="9"/>
        <v>C.4.01</v>
      </c>
      <c r="C65" s="285" t="s">
        <v>92</v>
      </c>
      <c r="D65" s="10">
        <v>4</v>
      </c>
      <c r="E65" s="10">
        <v>1</v>
      </c>
      <c r="G65" s="255" t="s">
        <v>190</v>
      </c>
      <c r="H65" s="286">
        <v>1</v>
      </c>
      <c r="I65" s="287" t="str">
        <f t="shared" si="10"/>
        <v/>
      </c>
      <c r="J65" s="202" t="str">
        <f t="shared" si="11"/>
        <v/>
      </c>
      <c r="K65" s="202" t="str">
        <f t="shared" si="12"/>
        <v/>
      </c>
      <c r="L65" s="202" t="str">
        <f t="shared" si="13"/>
        <v/>
      </c>
      <c r="M65" s="202">
        <f t="shared" si="14"/>
        <v>5</v>
      </c>
      <c r="N65" s="202" t="str">
        <f t="shared" si="15"/>
        <v/>
      </c>
      <c r="O65" s="287">
        <f t="shared" si="16"/>
        <v>5</v>
      </c>
      <c r="Q65" s="243" t="str">
        <f t="shared" si="17"/>
        <v>01</v>
      </c>
      <c r="R65" s="288" t="str">
        <f t="shared" si="18"/>
        <v>C.4.01</v>
      </c>
    </row>
    <row r="66" spans="1:18" ht="60" x14ac:dyDescent="0.25">
      <c r="A66" s="10">
        <v>64</v>
      </c>
      <c r="B66" s="280" t="str">
        <f t="shared" si="9"/>
        <v/>
      </c>
      <c r="C66" s="285"/>
      <c r="F66" s="10" t="s">
        <v>122</v>
      </c>
      <c r="G66" s="255" t="s">
        <v>126</v>
      </c>
      <c r="I66" s="287" t="str">
        <f t="shared" si="10"/>
        <v/>
      </c>
      <c r="J66" s="202" t="str">
        <f t="shared" si="11"/>
        <v/>
      </c>
      <c r="K66" s="202">
        <f t="shared" si="12"/>
        <v>3</v>
      </c>
      <c r="L66" s="202" t="str">
        <f t="shared" si="13"/>
        <v/>
      </c>
      <c r="M66" s="202" t="str">
        <f t="shared" si="14"/>
        <v/>
      </c>
      <c r="N66" s="202" t="str">
        <f t="shared" si="15"/>
        <v/>
      </c>
      <c r="O66" s="287">
        <f t="shared" si="16"/>
        <v>3</v>
      </c>
      <c r="Q66" s="243" t="str">
        <f t="shared" si="17"/>
        <v/>
      </c>
      <c r="R66" s="288" t="str">
        <f t="shared" si="18"/>
        <v/>
      </c>
    </row>
    <row r="67" spans="1:18" x14ac:dyDescent="0.25">
      <c r="A67" s="10">
        <v>65</v>
      </c>
      <c r="B67" s="280" t="str">
        <f t="shared" si="9"/>
        <v>C.5</v>
      </c>
      <c r="C67" s="285" t="s">
        <v>92</v>
      </c>
      <c r="D67" s="10">
        <v>5</v>
      </c>
      <c r="G67" s="255" t="s">
        <v>229</v>
      </c>
      <c r="I67" s="287" t="str">
        <f t="shared" si="10"/>
        <v/>
      </c>
      <c r="J67" s="202">
        <f t="shared" si="11"/>
        <v>2</v>
      </c>
      <c r="K67" s="202" t="str">
        <f t="shared" si="12"/>
        <v/>
      </c>
      <c r="L67" s="202" t="str">
        <f t="shared" si="13"/>
        <v/>
      </c>
      <c r="M67" s="202" t="str">
        <f t="shared" si="14"/>
        <v/>
      </c>
      <c r="N67" s="202" t="str">
        <f t="shared" si="15"/>
        <v/>
      </c>
      <c r="O67" s="287">
        <f t="shared" si="16"/>
        <v>2</v>
      </c>
      <c r="Q67" s="243" t="str">
        <f t="shared" si="17"/>
        <v/>
      </c>
      <c r="R67" s="288" t="str">
        <f t="shared" si="18"/>
        <v>C.5</v>
      </c>
    </row>
    <row r="68" spans="1:18" ht="30" x14ac:dyDescent="0.25">
      <c r="A68" s="10">
        <v>66</v>
      </c>
      <c r="B68" s="280" t="str">
        <f t="shared" si="9"/>
        <v>C.5.01</v>
      </c>
      <c r="C68" s="285" t="s">
        <v>92</v>
      </c>
      <c r="D68" s="10">
        <v>5</v>
      </c>
      <c r="E68" s="10">
        <v>1</v>
      </c>
      <c r="G68" s="255" t="s">
        <v>191</v>
      </c>
      <c r="H68" s="286">
        <v>1</v>
      </c>
      <c r="I68" s="287" t="str">
        <f t="shared" si="10"/>
        <v/>
      </c>
      <c r="J68" s="202" t="str">
        <f t="shared" si="11"/>
        <v/>
      </c>
      <c r="K68" s="202" t="str">
        <f t="shared" si="12"/>
        <v/>
      </c>
      <c r="L68" s="202" t="str">
        <f t="shared" si="13"/>
        <v/>
      </c>
      <c r="M68" s="202">
        <f t="shared" si="14"/>
        <v>5</v>
      </c>
      <c r="N68" s="202" t="str">
        <f t="shared" si="15"/>
        <v/>
      </c>
      <c r="O68" s="287">
        <f t="shared" si="16"/>
        <v>5</v>
      </c>
      <c r="Q68" s="243" t="str">
        <f t="shared" si="17"/>
        <v>01</v>
      </c>
      <c r="R68" s="288" t="str">
        <f t="shared" si="18"/>
        <v>C.5.01</v>
      </c>
    </row>
    <row r="69" spans="1:18" ht="75" x14ac:dyDescent="0.25">
      <c r="A69" s="10">
        <v>67</v>
      </c>
      <c r="B69" s="280" t="str">
        <f t="shared" ref="B69:B72" si="28">R69</f>
        <v/>
      </c>
      <c r="C69" s="285"/>
      <c r="F69" s="10" t="s">
        <v>122</v>
      </c>
      <c r="G69" s="255" t="s">
        <v>192</v>
      </c>
      <c r="I69" s="287" t="str">
        <f t="shared" ref="I69:I72" si="29">IF(AND(LEN(C69)=1,LEN(D69)=0),1,"")</f>
        <v/>
      </c>
      <c r="J69" s="202" t="str">
        <f t="shared" ref="J69:J72" si="30">IF(AND(LEN(C69)=1,LEN(D69)=1,LEN(E69)=0,LEN(F69)=0),2,"")</f>
        <v/>
      </c>
      <c r="K69" s="202">
        <f t="shared" ref="K69:K72" si="31">IF(AND(LEN(C69)=0,LEN(E69)=0),3,"")</f>
        <v>3</v>
      </c>
      <c r="L69" s="202" t="str">
        <f t="shared" ref="L69:L72" si="32">IF(AND(LEN(C69)&gt;0,LEN(D69&gt;0),LEN(E69)&gt;0,LEN(F69)=0,H69="N/A"),4,"")</f>
        <v/>
      </c>
      <c r="M69" s="202" t="str">
        <f t="shared" ref="M69:M72" si="33">IF(AND(LEN(C69)&gt;0,LEN(D69&gt;0),LEN(E69)&gt;0,LEN(F69)=0,H69&gt;0,H69&lt;6),5,"")</f>
        <v/>
      </c>
      <c r="N69" s="202" t="str">
        <f t="shared" ref="N69:N72" si="34">IF(AND(LEN(C69)&gt;0,LEN(D69&gt;0),LEN(E69)&gt;0,LEN(F69)&gt;0,H69&gt;0,H69&lt;6),6,"")</f>
        <v/>
      </c>
      <c r="O69" s="287">
        <f t="shared" ref="O69:O72" si="35">SUM(I69:N69)</f>
        <v>3</v>
      </c>
      <c r="Q69" s="243" t="str">
        <f t="shared" ref="Q69:Q72" si="36">IF(LEN(E69)&gt;0,TEXT(E69,"00"),"")</f>
        <v/>
      </c>
      <c r="R69" s="288" t="str">
        <f t="shared" ref="R69:R72" si="37">IF(O69=1,C69,IF(O69=2,C69&amp;"."&amp;D69,IF(O69=3,"",IF(O69=4,C69&amp;"."&amp;D69&amp;"."&amp;Q69,IF(O69=5,C69&amp;"."&amp;D69&amp;"."&amp;Q69,IF(O69=6,C69&amp;"."&amp;D69&amp;"."&amp;Q69&amp;F69,""))))))</f>
        <v/>
      </c>
    </row>
    <row r="70" spans="1:18" x14ac:dyDescent="0.25">
      <c r="A70" s="10">
        <v>68</v>
      </c>
      <c r="B70" s="280" t="str">
        <f t="shared" si="28"/>
        <v>C.6</v>
      </c>
      <c r="C70" s="285" t="s">
        <v>92</v>
      </c>
      <c r="D70" s="10">
        <v>6</v>
      </c>
      <c r="G70" s="255" t="s">
        <v>230</v>
      </c>
      <c r="I70" s="287" t="str">
        <f t="shared" si="29"/>
        <v/>
      </c>
      <c r="J70" s="202">
        <f t="shared" si="30"/>
        <v>2</v>
      </c>
      <c r="K70" s="202" t="str">
        <f t="shared" si="31"/>
        <v/>
      </c>
      <c r="L70" s="202" t="str">
        <f t="shared" si="32"/>
        <v/>
      </c>
      <c r="M70" s="202" t="str">
        <f t="shared" si="33"/>
        <v/>
      </c>
      <c r="N70" s="202" t="str">
        <f t="shared" si="34"/>
        <v/>
      </c>
      <c r="O70" s="287">
        <f t="shared" si="35"/>
        <v>2</v>
      </c>
      <c r="Q70" s="243" t="str">
        <f t="shared" si="36"/>
        <v/>
      </c>
      <c r="R70" s="288" t="str">
        <f t="shared" si="37"/>
        <v>C.6</v>
      </c>
    </row>
    <row r="71" spans="1:18" ht="30" x14ac:dyDescent="0.25">
      <c r="A71" s="10">
        <v>69</v>
      </c>
      <c r="B71" s="280" t="str">
        <f t="shared" si="28"/>
        <v>C.6.01</v>
      </c>
      <c r="C71" s="285" t="s">
        <v>92</v>
      </c>
      <c r="D71" s="10">
        <v>6</v>
      </c>
      <c r="E71" s="10">
        <v>1</v>
      </c>
      <c r="G71" s="255" t="s">
        <v>193</v>
      </c>
      <c r="H71" s="286">
        <v>1</v>
      </c>
      <c r="I71" s="287" t="str">
        <f t="shared" si="29"/>
        <v/>
      </c>
      <c r="J71" s="202" t="str">
        <f t="shared" si="30"/>
        <v/>
      </c>
      <c r="K71" s="202" t="str">
        <f t="shared" si="31"/>
        <v/>
      </c>
      <c r="L71" s="202" t="str">
        <f t="shared" si="32"/>
        <v/>
      </c>
      <c r="M71" s="202">
        <f t="shared" si="33"/>
        <v>5</v>
      </c>
      <c r="N71" s="202" t="str">
        <f t="shared" si="34"/>
        <v/>
      </c>
      <c r="O71" s="287">
        <f t="shared" si="35"/>
        <v>5</v>
      </c>
      <c r="Q71" s="243" t="str">
        <f t="shared" si="36"/>
        <v>01</v>
      </c>
      <c r="R71" s="288" t="str">
        <f t="shared" si="37"/>
        <v>C.6.01</v>
      </c>
    </row>
    <row r="72" spans="1:18" ht="105" x14ac:dyDescent="0.25">
      <c r="A72" s="10">
        <v>70</v>
      </c>
      <c r="B72" s="280" t="str">
        <f t="shared" si="28"/>
        <v/>
      </c>
      <c r="C72" s="285"/>
      <c r="F72" s="10" t="s">
        <v>122</v>
      </c>
      <c r="G72" s="255" t="s">
        <v>222</v>
      </c>
      <c r="I72" s="287" t="str">
        <f t="shared" si="29"/>
        <v/>
      </c>
      <c r="J72" s="202" t="str">
        <f t="shared" si="30"/>
        <v/>
      </c>
      <c r="K72" s="202">
        <f t="shared" si="31"/>
        <v>3</v>
      </c>
      <c r="L72" s="202" t="str">
        <f t="shared" si="32"/>
        <v/>
      </c>
      <c r="M72" s="202" t="str">
        <f t="shared" si="33"/>
        <v/>
      </c>
      <c r="N72" s="202" t="str">
        <f t="shared" si="34"/>
        <v/>
      </c>
      <c r="O72" s="287">
        <f t="shared" si="35"/>
        <v>3</v>
      </c>
      <c r="Q72" s="243" t="str">
        <f t="shared" si="36"/>
        <v/>
      </c>
      <c r="R72" s="288" t="str">
        <f t="shared" si="37"/>
        <v/>
      </c>
    </row>
  </sheetData>
  <sheetProtection algorithmName="SHA-512" hashValue="A5K4+T17Um2bd5AJ0cwRapwWI6y0ldwKVNNyOEBSSH3GQB3UgVeBK3rGunyvt5Y6AM4HrO6rdRE4oxHk+EKYLg==" saltValue="Nm/GN6fK82ikvgtoBRXzNA==" spinCount="100000" sheet="1" objects="1" scenarios="1"/>
  <mergeCells count="2">
    <mergeCell ref="A1:G1"/>
    <mergeCell ref="W1:X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theme="0" tint="-0.499984740745262"/>
    <pageSetUpPr autoPageBreaks="0" fitToPage="1"/>
  </sheetPr>
  <dimension ref="B2:P79"/>
  <sheetViews>
    <sheetView showGridLines="0" showRowColHeaders="0" zoomScaleNormal="100" workbookViewId="0">
      <selection activeCell="D2" sqref="D2:L5"/>
    </sheetView>
  </sheetViews>
  <sheetFormatPr defaultColWidth="9.140625" defaultRowHeight="15" x14ac:dyDescent="0.25"/>
  <cols>
    <col min="1" max="14" width="9.140625" style="13"/>
    <col min="15" max="16" width="3.5703125" style="13" customWidth="1"/>
    <col min="17" max="16384" width="9.140625" style="13"/>
  </cols>
  <sheetData>
    <row r="2" spans="2:16" ht="15" customHeight="1" x14ac:dyDescent="0.25">
      <c r="D2" s="298" t="str">
        <f>Tool_Name</f>
        <v>Penetration Testing Management
Maturity Assessment Tool</v>
      </c>
      <c r="E2" s="298"/>
      <c r="F2" s="298"/>
      <c r="G2" s="298"/>
      <c r="H2" s="298"/>
      <c r="I2" s="298"/>
      <c r="J2" s="298"/>
      <c r="K2" s="298"/>
      <c r="L2" s="298"/>
      <c r="M2" s="112"/>
      <c r="N2" s="112"/>
      <c r="O2" s="112"/>
      <c r="P2" s="112"/>
    </row>
    <row r="3" spans="2:16" ht="15" customHeight="1" x14ac:dyDescent="0.25">
      <c r="D3" s="298"/>
      <c r="E3" s="298"/>
      <c r="F3" s="298"/>
      <c r="G3" s="298"/>
      <c r="H3" s="298"/>
      <c r="I3" s="298"/>
      <c r="J3" s="298"/>
      <c r="K3" s="298"/>
      <c r="L3" s="298"/>
      <c r="M3" s="112"/>
      <c r="N3" s="112"/>
      <c r="O3" s="112"/>
      <c r="P3" s="112"/>
    </row>
    <row r="4" spans="2:16" ht="15" customHeight="1" x14ac:dyDescent="0.25">
      <c r="D4" s="298"/>
      <c r="E4" s="298"/>
      <c r="F4" s="298"/>
      <c r="G4" s="298"/>
      <c r="H4" s="298"/>
      <c r="I4" s="298"/>
      <c r="J4" s="298"/>
      <c r="K4" s="298"/>
      <c r="L4" s="298"/>
      <c r="M4" s="112"/>
      <c r="N4" s="112"/>
      <c r="O4" s="112"/>
      <c r="P4" s="112"/>
    </row>
    <row r="5" spans="2:16" ht="15" customHeight="1" x14ac:dyDescent="0.25">
      <c r="D5" s="298"/>
      <c r="E5" s="298"/>
      <c r="F5" s="298"/>
      <c r="G5" s="298"/>
      <c r="H5" s="298"/>
      <c r="I5" s="298"/>
      <c r="J5" s="298"/>
      <c r="K5" s="298"/>
      <c r="L5" s="298"/>
      <c r="M5" s="112"/>
      <c r="N5" s="112"/>
      <c r="O5" s="112"/>
      <c r="P5" s="112"/>
    </row>
    <row r="8" spans="2:16" ht="19.5" x14ac:dyDescent="0.3">
      <c r="B8" s="14" t="s">
        <v>7</v>
      </c>
      <c r="C8" s="12"/>
    </row>
    <row r="9" spans="2:16" x14ac:dyDescent="0.25">
      <c r="B9" s="10"/>
    </row>
    <row r="10" spans="2:16" ht="17.25" x14ac:dyDescent="0.3">
      <c r="B10" s="11" t="s">
        <v>76</v>
      </c>
    </row>
    <row r="11" spans="2:16" ht="6.75" customHeight="1" x14ac:dyDescent="0.25"/>
    <row r="12" spans="2:16" ht="15" customHeight="1" x14ac:dyDescent="0.25">
      <c r="B12" s="297" t="s">
        <v>202</v>
      </c>
      <c r="C12" s="297"/>
      <c r="D12" s="297"/>
      <c r="E12" s="297"/>
      <c r="F12" s="297"/>
      <c r="G12" s="297"/>
      <c r="H12" s="297"/>
      <c r="I12" s="297"/>
      <c r="J12" s="297"/>
      <c r="K12" s="297"/>
      <c r="L12" s="297"/>
    </row>
    <row r="13" spans="2:16" x14ac:dyDescent="0.25">
      <c r="B13" s="297"/>
      <c r="C13" s="297"/>
      <c r="D13" s="297"/>
      <c r="E13" s="297"/>
      <c r="F13" s="297"/>
      <c r="G13" s="297"/>
      <c r="H13" s="297"/>
      <c r="I13" s="297"/>
      <c r="J13" s="297"/>
      <c r="K13" s="297"/>
      <c r="L13" s="297"/>
    </row>
    <row r="15" spans="2:16" ht="15" customHeight="1" x14ac:dyDescent="0.25">
      <c r="B15" s="297" t="s">
        <v>208</v>
      </c>
      <c r="C15" s="297"/>
      <c r="D15" s="297"/>
      <c r="E15" s="297"/>
      <c r="F15" s="297"/>
      <c r="G15" s="297"/>
      <c r="H15" s="297"/>
      <c r="I15" s="297"/>
      <c r="J15" s="297"/>
      <c r="K15" s="297"/>
      <c r="L15" s="297"/>
    </row>
    <row r="16" spans="2:16" x14ac:dyDescent="0.25">
      <c r="B16" s="297"/>
      <c r="C16" s="297"/>
      <c r="D16" s="297"/>
      <c r="E16" s="297"/>
      <c r="F16" s="297"/>
      <c r="G16" s="297"/>
      <c r="H16" s="297"/>
      <c r="I16" s="297"/>
      <c r="J16" s="297"/>
      <c r="K16" s="297"/>
      <c r="L16" s="297"/>
    </row>
    <row r="17" spans="2:12" x14ac:dyDescent="0.25">
      <c r="B17" s="297"/>
      <c r="C17" s="297"/>
      <c r="D17" s="297"/>
      <c r="E17" s="297"/>
      <c r="F17" s="297"/>
      <c r="G17" s="297"/>
      <c r="H17" s="297"/>
      <c r="I17" s="297"/>
      <c r="J17" s="297"/>
      <c r="K17" s="297"/>
      <c r="L17" s="297"/>
    </row>
    <row r="18" spans="2:12" x14ac:dyDescent="0.25">
      <c r="B18" s="88"/>
      <c r="C18" s="88"/>
      <c r="D18" s="88"/>
      <c r="E18" s="88"/>
      <c r="F18" s="88"/>
      <c r="G18" s="88"/>
      <c r="H18" s="88"/>
      <c r="I18" s="88"/>
      <c r="J18" s="88"/>
      <c r="K18" s="88"/>
      <c r="L18" s="88"/>
    </row>
    <row r="34" spans="2:12" ht="15" customHeight="1" x14ac:dyDescent="0.25">
      <c r="B34" s="297" t="s">
        <v>203</v>
      </c>
      <c r="C34" s="297"/>
      <c r="D34" s="297"/>
      <c r="E34" s="297"/>
      <c r="F34" s="297"/>
      <c r="G34" s="297"/>
      <c r="H34" s="297"/>
      <c r="I34" s="297"/>
      <c r="J34" s="297"/>
      <c r="K34" s="297"/>
      <c r="L34" s="297"/>
    </row>
    <row r="35" spans="2:12" x14ac:dyDescent="0.25">
      <c r="B35" s="297"/>
      <c r="C35" s="297"/>
      <c r="D35" s="297"/>
      <c r="E35" s="297"/>
      <c r="F35" s="297"/>
      <c r="G35" s="297"/>
      <c r="H35" s="297"/>
      <c r="I35" s="297"/>
      <c r="J35" s="297"/>
      <c r="K35" s="297"/>
      <c r="L35" s="297"/>
    </row>
    <row r="36" spans="2:12" ht="39" customHeight="1" x14ac:dyDescent="0.25">
      <c r="B36" s="297"/>
      <c r="C36" s="297"/>
      <c r="D36" s="297"/>
      <c r="E36" s="297"/>
      <c r="F36" s="297"/>
      <c r="G36" s="297"/>
      <c r="H36" s="297"/>
      <c r="I36" s="297"/>
      <c r="J36" s="297"/>
      <c r="K36" s="297"/>
      <c r="L36" s="297"/>
    </row>
    <row r="37" spans="2:12" x14ac:dyDescent="0.25">
      <c r="B37" s="88"/>
      <c r="C37" s="88"/>
      <c r="D37" s="88"/>
      <c r="E37" s="88"/>
      <c r="F37" s="88"/>
      <c r="G37" s="88"/>
      <c r="H37" s="88"/>
      <c r="I37" s="88"/>
      <c r="J37" s="88"/>
      <c r="K37" s="88"/>
      <c r="L37" s="88"/>
    </row>
    <row r="38" spans="2:12" ht="15" customHeight="1" x14ac:dyDescent="0.25">
      <c r="B38" s="297" t="s">
        <v>88</v>
      </c>
      <c r="C38" s="297"/>
      <c r="D38" s="297"/>
      <c r="E38" s="297"/>
      <c r="F38" s="297"/>
      <c r="G38" s="297"/>
      <c r="H38" s="297"/>
      <c r="I38" s="297"/>
      <c r="J38" s="297"/>
      <c r="K38" s="297"/>
      <c r="L38" s="297"/>
    </row>
    <row r="39" spans="2:12" x14ac:dyDescent="0.25">
      <c r="B39" s="297"/>
      <c r="C39" s="297"/>
      <c r="D39" s="297"/>
      <c r="E39" s="297"/>
      <c r="F39" s="297"/>
      <c r="G39" s="297"/>
      <c r="H39" s="297"/>
      <c r="I39" s="297"/>
      <c r="J39" s="297"/>
      <c r="K39" s="297"/>
      <c r="L39" s="297"/>
    </row>
    <row r="40" spans="2:12" x14ac:dyDescent="0.25">
      <c r="B40" s="297"/>
      <c r="C40" s="297"/>
      <c r="D40" s="297"/>
      <c r="E40" s="297"/>
      <c r="F40" s="297"/>
      <c r="G40" s="297"/>
      <c r="H40" s="297"/>
      <c r="I40" s="297"/>
      <c r="J40" s="297"/>
      <c r="K40" s="297"/>
      <c r="L40" s="297"/>
    </row>
    <row r="41" spans="2:12" x14ac:dyDescent="0.25">
      <c r="B41" s="297"/>
      <c r="C41" s="297"/>
      <c r="D41" s="297"/>
      <c r="E41" s="297"/>
      <c r="F41" s="297"/>
      <c r="G41" s="297"/>
      <c r="H41" s="297"/>
      <c r="I41" s="297"/>
      <c r="J41" s="297"/>
      <c r="K41" s="297"/>
      <c r="L41" s="297"/>
    </row>
    <row r="42" spans="2:12" ht="15" customHeight="1" x14ac:dyDescent="0.25">
      <c r="B42" s="297" t="s">
        <v>204</v>
      </c>
      <c r="C42" s="297"/>
      <c r="D42" s="297"/>
      <c r="E42" s="297"/>
      <c r="F42" s="297"/>
      <c r="G42" s="297"/>
      <c r="H42" s="297"/>
      <c r="I42" s="297"/>
      <c r="J42" s="297"/>
      <c r="K42" s="297"/>
      <c r="L42" s="297"/>
    </row>
    <row r="43" spans="2:12" x14ac:dyDescent="0.25">
      <c r="B43" s="297"/>
      <c r="C43" s="297"/>
      <c r="D43" s="297"/>
      <c r="E43" s="297"/>
      <c r="F43" s="297"/>
      <c r="G43" s="297"/>
      <c r="H43" s="297"/>
      <c r="I43" s="297"/>
      <c r="J43" s="297"/>
      <c r="K43" s="297"/>
      <c r="L43" s="297"/>
    </row>
    <row r="44" spans="2:12" x14ac:dyDescent="0.25">
      <c r="B44" s="297"/>
      <c r="C44" s="297"/>
      <c r="D44" s="297"/>
      <c r="E44" s="297"/>
      <c r="F44" s="297"/>
      <c r="G44" s="297"/>
      <c r="H44" s="297"/>
      <c r="I44" s="297"/>
      <c r="J44" s="297"/>
      <c r="K44" s="297"/>
      <c r="L44" s="297"/>
    </row>
    <row r="45" spans="2:12" x14ac:dyDescent="0.25">
      <c r="B45" s="297"/>
      <c r="C45" s="297"/>
      <c r="D45" s="297"/>
      <c r="E45" s="297"/>
      <c r="F45" s="297"/>
      <c r="G45" s="297"/>
      <c r="H45" s="297"/>
      <c r="I45" s="297"/>
      <c r="J45" s="297"/>
      <c r="K45" s="297"/>
      <c r="L45" s="297"/>
    </row>
    <row r="47" spans="2:12" ht="17.25" x14ac:dyDescent="0.3">
      <c r="B47" s="11" t="s">
        <v>77</v>
      </c>
    </row>
    <row r="48" spans="2:12" ht="6.75" customHeight="1" x14ac:dyDescent="0.25"/>
    <row r="49" spans="2:12" ht="15" customHeight="1" x14ac:dyDescent="0.25">
      <c r="B49" s="299" t="s">
        <v>209</v>
      </c>
      <c r="C49" s="299"/>
      <c r="D49" s="299"/>
      <c r="E49" s="299"/>
      <c r="F49" s="299"/>
      <c r="G49" s="299"/>
      <c r="H49" s="299"/>
      <c r="I49" s="299"/>
      <c r="J49" s="299"/>
      <c r="K49" s="299"/>
      <c r="L49" s="299"/>
    </row>
    <row r="50" spans="2:12" ht="34.5" customHeight="1" x14ac:dyDescent="0.25">
      <c r="B50" s="299"/>
      <c r="C50" s="299"/>
      <c r="D50" s="299"/>
      <c r="E50" s="299"/>
      <c r="F50" s="299"/>
      <c r="G50" s="299"/>
      <c r="H50" s="299"/>
      <c r="I50" s="299"/>
      <c r="J50" s="299"/>
      <c r="K50" s="299"/>
      <c r="L50" s="299"/>
    </row>
    <row r="52" spans="2:12" ht="15" customHeight="1" x14ac:dyDescent="0.25">
      <c r="B52" s="299" t="s">
        <v>89</v>
      </c>
      <c r="C52" s="299"/>
      <c r="D52" s="299"/>
      <c r="E52" s="299"/>
      <c r="F52" s="299"/>
      <c r="G52" s="299"/>
      <c r="H52" s="299"/>
      <c r="I52" s="299"/>
      <c r="J52" s="299"/>
      <c r="K52" s="299"/>
      <c r="L52" s="299"/>
    </row>
    <row r="53" spans="2:12" x14ac:dyDescent="0.25">
      <c r="B53" s="299"/>
      <c r="C53" s="299"/>
      <c r="D53" s="299"/>
      <c r="E53" s="299"/>
      <c r="F53" s="299"/>
      <c r="G53" s="299"/>
      <c r="H53" s="299"/>
      <c r="I53" s="299"/>
      <c r="J53" s="299"/>
      <c r="K53" s="299"/>
      <c r="L53" s="299"/>
    </row>
    <row r="54" spans="2:12" x14ac:dyDescent="0.25">
      <c r="B54" s="299"/>
      <c r="C54" s="299"/>
      <c r="D54" s="299"/>
      <c r="E54" s="299"/>
      <c r="F54" s="299"/>
      <c r="G54" s="299"/>
      <c r="H54" s="299"/>
      <c r="I54" s="299"/>
      <c r="J54" s="299"/>
      <c r="K54" s="299"/>
      <c r="L54" s="299"/>
    </row>
    <row r="55" spans="2:12" ht="21" customHeight="1" x14ac:dyDescent="0.25">
      <c r="B55" s="299"/>
      <c r="C55" s="299"/>
      <c r="D55" s="299"/>
      <c r="E55" s="299"/>
      <c r="F55" s="299"/>
      <c r="G55" s="299"/>
      <c r="H55" s="299"/>
      <c r="I55" s="299"/>
      <c r="J55" s="299"/>
      <c r="K55" s="299"/>
      <c r="L55" s="299"/>
    </row>
    <row r="56" spans="2:12" ht="15" customHeight="1" x14ac:dyDescent="0.25">
      <c r="B56" s="297" t="s">
        <v>98</v>
      </c>
      <c r="C56" s="297"/>
      <c r="D56" s="297"/>
      <c r="E56" s="297"/>
      <c r="F56" s="297"/>
      <c r="G56" s="297"/>
      <c r="H56" s="297"/>
      <c r="I56" s="297"/>
      <c r="J56" s="297"/>
      <c r="K56" s="297"/>
      <c r="L56" s="297"/>
    </row>
    <row r="57" spans="2:12" x14ac:dyDescent="0.25">
      <c r="B57" s="297"/>
      <c r="C57" s="297"/>
      <c r="D57" s="297"/>
      <c r="E57" s="297"/>
      <c r="F57" s="297"/>
      <c r="G57" s="297"/>
      <c r="H57" s="297"/>
      <c r="I57" s="297"/>
      <c r="J57" s="297"/>
      <c r="K57" s="297"/>
      <c r="L57" s="297"/>
    </row>
    <row r="58" spans="2:12" x14ac:dyDescent="0.25">
      <c r="B58" s="297"/>
      <c r="C58" s="297"/>
      <c r="D58" s="297"/>
      <c r="E58" s="297"/>
      <c r="F58" s="297"/>
      <c r="G58" s="297"/>
      <c r="H58" s="297"/>
      <c r="I58" s="297"/>
      <c r="J58" s="297"/>
      <c r="K58" s="297"/>
      <c r="L58" s="297"/>
    </row>
    <row r="59" spans="2:12" x14ac:dyDescent="0.25">
      <c r="B59" s="88"/>
      <c r="C59" s="88"/>
      <c r="D59" s="88"/>
      <c r="E59" s="88"/>
      <c r="F59" s="88"/>
      <c r="G59" s="88"/>
      <c r="H59" s="88"/>
      <c r="I59" s="88"/>
      <c r="J59" s="88"/>
      <c r="K59" s="88"/>
      <c r="L59" s="88"/>
    </row>
    <row r="60" spans="2:12" ht="15" customHeight="1" x14ac:dyDescent="0.25">
      <c r="B60" s="297" t="s">
        <v>138</v>
      </c>
      <c r="C60" s="297"/>
      <c r="D60" s="297"/>
      <c r="E60" s="297"/>
      <c r="F60" s="297"/>
      <c r="G60" s="297"/>
      <c r="H60" s="297"/>
      <c r="I60" s="297"/>
      <c r="J60" s="297"/>
      <c r="K60" s="297"/>
      <c r="L60" s="297"/>
    </row>
    <row r="61" spans="2:12" ht="15" customHeight="1" x14ac:dyDescent="0.25">
      <c r="B61" s="297"/>
      <c r="C61" s="297"/>
      <c r="D61" s="297"/>
      <c r="E61" s="297"/>
      <c r="F61" s="297"/>
      <c r="G61" s="297"/>
      <c r="H61" s="297"/>
      <c r="I61" s="297"/>
      <c r="J61" s="297"/>
      <c r="K61" s="297"/>
      <c r="L61" s="297"/>
    </row>
    <row r="62" spans="2:12" ht="15" customHeight="1" x14ac:dyDescent="0.25">
      <c r="B62" s="297"/>
      <c r="C62" s="297"/>
      <c r="D62" s="297"/>
      <c r="E62" s="297"/>
      <c r="F62" s="297"/>
      <c r="G62" s="297"/>
      <c r="H62" s="297"/>
      <c r="I62" s="297"/>
      <c r="J62" s="297"/>
      <c r="K62" s="297"/>
      <c r="L62" s="297"/>
    </row>
    <row r="63" spans="2:12" ht="15" customHeight="1" x14ac:dyDescent="0.25">
      <c r="B63" s="297"/>
      <c r="C63" s="297"/>
      <c r="D63" s="297"/>
      <c r="E63" s="297"/>
      <c r="F63" s="297"/>
      <c r="G63" s="297"/>
      <c r="H63" s="297"/>
      <c r="I63" s="297"/>
      <c r="J63" s="297"/>
      <c r="K63" s="297"/>
      <c r="L63" s="297"/>
    </row>
    <row r="64" spans="2:12" ht="15" customHeight="1" x14ac:dyDescent="0.25">
      <c r="B64" s="297"/>
      <c r="C64" s="297"/>
      <c r="D64" s="297"/>
      <c r="E64" s="297"/>
      <c r="F64" s="297"/>
      <c r="G64" s="297"/>
      <c r="H64" s="297"/>
      <c r="I64" s="297"/>
      <c r="J64" s="297"/>
      <c r="K64" s="297"/>
      <c r="L64" s="297"/>
    </row>
    <row r="65" spans="2:12" ht="15" customHeight="1" x14ac:dyDescent="0.25">
      <c r="B65" s="297"/>
      <c r="C65" s="297"/>
      <c r="D65" s="297"/>
      <c r="E65" s="297"/>
      <c r="F65" s="297"/>
      <c r="G65" s="297"/>
      <c r="H65" s="297"/>
      <c r="I65" s="297"/>
      <c r="J65" s="297"/>
      <c r="K65" s="297"/>
      <c r="L65" s="297"/>
    </row>
    <row r="66" spans="2:12" ht="15" customHeight="1" x14ac:dyDescent="0.25">
      <c r="B66" s="297"/>
      <c r="C66" s="297"/>
      <c r="D66" s="297"/>
      <c r="E66" s="297"/>
      <c r="F66" s="297"/>
      <c r="G66" s="297"/>
      <c r="H66" s="297"/>
      <c r="I66" s="297"/>
      <c r="J66" s="297"/>
      <c r="K66" s="297"/>
      <c r="L66" s="297"/>
    </row>
    <row r="67" spans="2:12" x14ac:dyDescent="0.25">
      <c r="B67" s="297"/>
      <c r="C67" s="297"/>
      <c r="D67" s="297"/>
      <c r="E67" s="297"/>
      <c r="F67" s="297"/>
      <c r="G67" s="297"/>
      <c r="H67" s="297"/>
      <c r="I67" s="297"/>
      <c r="J67" s="297"/>
      <c r="K67" s="297"/>
      <c r="L67" s="297"/>
    </row>
    <row r="68" spans="2:12" x14ac:dyDescent="0.25">
      <c r="B68" s="297"/>
      <c r="C68" s="297"/>
      <c r="D68" s="297"/>
      <c r="E68" s="297"/>
      <c r="F68" s="297"/>
      <c r="G68" s="297"/>
      <c r="H68" s="297"/>
      <c r="I68" s="297"/>
      <c r="J68" s="297"/>
      <c r="K68" s="297"/>
      <c r="L68" s="297"/>
    </row>
    <row r="69" spans="2:12" ht="51.75" customHeight="1" x14ac:dyDescent="0.25">
      <c r="B69" s="297"/>
      <c r="C69" s="297"/>
      <c r="D69" s="297"/>
      <c r="E69" s="297"/>
      <c r="F69" s="297"/>
      <c r="G69" s="297"/>
      <c r="H69" s="297"/>
      <c r="I69" s="297"/>
      <c r="J69" s="297"/>
      <c r="K69" s="297"/>
      <c r="L69" s="297"/>
    </row>
    <row r="70" spans="2:12" ht="15" customHeight="1" x14ac:dyDescent="0.25">
      <c r="B70" s="297" t="s">
        <v>223</v>
      </c>
      <c r="C70" s="297"/>
      <c r="D70" s="297"/>
      <c r="E70" s="297"/>
      <c r="F70" s="297"/>
      <c r="G70" s="297"/>
      <c r="H70" s="297"/>
      <c r="I70" s="297"/>
      <c r="J70" s="297"/>
      <c r="K70" s="297"/>
      <c r="L70" s="297"/>
    </row>
    <row r="71" spans="2:12" x14ac:dyDescent="0.25">
      <c r="B71" s="297"/>
      <c r="C71" s="297"/>
      <c r="D71" s="297"/>
      <c r="E71" s="297"/>
      <c r="F71" s="297"/>
      <c r="G71" s="297"/>
      <c r="H71" s="297"/>
      <c r="I71" s="297"/>
      <c r="J71" s="297"/>
      <c r="K71" s="297"/>
      <c r="L71" s="297"/>
    </row>
    <row r="72" spans="2:12" x14ac:dyDescent="0.25">
      <c r="B72" s="297"/>
      <c r="C72" s="297"/>
      <c r="D72" s="297"/>
      <c r="E72" s="297"/>
      <c r="F72" s="297"/>
      <c r="G72" s="297"/>
      <c r="H72" s="297"/>
      <c r="I72" s="297"/>
      <c r="J72" s="297"/>
      <c r="K72" s="297"/>
      <c r="L72" s="297"/>
    </row>
    <row r="74" spans="2:12" x14ac:dyDescent="0.25">
      <c r="B74" s="297" t="s">
        <v>213</v>
      </c>
      <c r="C74" s="297"/>
      <c r="D74" s="297"/>
      <c r="E74" s="297"/>
      <c r="F74" s="297"/>
      <c r="G74" s="297"/>
      <c r="H74" s="297"/>
      <c r="I74" s="297"/>
      <c r="J74" s="297"/>
      <c r="K74" s="297"/>
      <c r="L74" s="297"/>
    </row>
    <row r="75" spans="2:12" x14ac:dyDescent="0.25">
      <c r="B75" s="297"/>
      <c r="C75" s="297"/>
      <c r="D75" s="297"/>
      <c r="E75" s="297"/>
      <c r="F75" s="297"/>
      <c r="G75" s="297"/>
      <c r="H75" s="297"/>
      <c r="I75" s="297"/>
      <c r="J75" s="297"/>
      <c r="K75" s="297"/>
      <c r="L75" s="297"/>
    </row>
    <row r="76" spans="2:12" x14ac:dyDescent="0.25">
      <c r="B76" s="297"/>
      <c r="C76" s="297"/>
      <c r="D76" s="297"/>
      <c r="E76" s="297"/>
      <c r="F76" s="297"/>
      <c r="G76" s="297"/>
      <c r="H76" s="297"/>
      <c r="I76" s="297"/>
      <c r="J76" s="297"/>
      <c r="K76" s="297"/>
      <c r="L76" s="297"/>
    </row>
    <row r="77" spans="2:12" x14ac:dyDescent="0.25">
      <c r="B77" s="107"/>
      <c r="C77" s="107"/>
      <c r="D77" s="107"/>
      <c r="E77" s="107"/>
      <c r="F77" s="107"/>
      <c r="G77" s="107"/>
      <c r="H77" s="107"/>
      <c r="I77" s="107"/>
      <c r="J77" s="107"/>
      <c r="K77" s="107"/>
      <c r="L77" s="107"/>
    </row>
    <row r="78" spans="2:12" x14ac:dyDescent="0.25">
      <c r="B78" s="297" t="s">
        <v>212</v>
      </c>
      <c r="C78" s="297"/>
      <c r="D78" s="297"/>
      <c r="E78" s="297"/>
      <c r="F78" s="297"/>
      <c r="G78" s="297"/>
      <c r="H78" s="297"/>
      <c r="I78" s="297"/>
      <c r="J78" s="297"/>
      <c r="K78" s="297"/>
      <c r="L78" s="297"/>
    </row>
    <row r="79" spans="2:12" x14ac:dyDescent="0.25">
      <c r="B79" s="297"/>
      <c r="C79" s="297"/>
      <c r="D79" s="297"/>
      <c r="E79" s="297"/>
      <c r="F79" s="297"/>
      <c r="G79" s="297"/>
      <c r="H79" s="297"/>
      <c r="I79" s="297"/>
      <c r="J79" s="297"/>
      <c r="K79" s="297"/>
      <c r="L79" s="297"/>
    </row>
  </sheetData>
  <sheetProtection algorithmName="SHA-512" hashValue="dmC8WoVJOrPkrYv8W9G97II2JZtTgiEUYhJTr7NtMN4IfIVVowZT0jIz02ya+FlxYphlXzWvqg4rdZtjIRqsCA==" saltValue="LfuniNKuzJe+ULY5WIT9Ng==" spinCount="100000" sheet="1" objects="1" scenarios="1"/>
  <mergeCells count="13">
    <mergeCell ref="D2:L5"/>
    <mergeCell ref="B70:L72"/>
    <mergeCell ref="B74:L76"/>
    <mergeCell ref="B78:L79"/>
    <mergeCell ref="B49:L50"/>
    <mergeCell ref="B52:L55"/>
    <mergeCell ref="B56:L58"/>
    <mergeCell ref="B60:L69"/>
    <mergeCell ref="B42:L45"/>
    <mergeCell ref="B12:L13"/>
    <mergeCell ref="B15:L17"/>
    <mergeCell ref="B34:L36"/>
    <mergeCell ref="B38:L41"/>
  </mergeCells>
  <pageMargins left="0.7" right="0.7" top="0.75" bottom="0.75" header="0.3" footer="0.3"/>
  <pageSetup paperSize="9" scale="69" fitToHeight="0" orientation="portrait" horizontalDpi="4294967293" r:id="rId1"/>
  <rowBreaks count="1" manualBreakCount="1">
    <brk id="45" max="1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FFFF00"/>
    <pageSetUpPr autoPageBreaks="0" fitToPage="1"/>
  </sheetPr>
  <dimension ref="A1:P27"/>
  <sheetViews>
    <sheetView showGridLines="0" zoomScaleNormal="100" zoomScaleSheetLayoutView="25" workbookViewId="0">
      <pane ySplit="2" topLeftCell="A3" activePane="bottomLeft" state="frozen"/>
      <selection activeCell="D1" sqref="D1"/>
      <selection pane="bottomLeft" activeCell="F5" sqref="F5:G5"/>
    </sheetView>
  </sheetViews>
  <sheetFormatPr defaultColWidth="9.140625" defaultRowHeight="12.75" x14ac:dyDescent="0.2"/>
  <cols>
    <col min="1" max="1" width="10.28515625" style="5" hidden="1" customWidth="1"/>
    <col min="2" max="2" width="7.5703125" style="4" hidden="1" customWidth="1"/>
    <col min="3" max="3" width="6.28515625" style="4" customWidth="1"/>
    <col min="4" max="4" width="6.28515625" style="5" customWidth="1"/>
    <col min="5" max="5" width="57.5703125" style="5" customWidth="1"/>
    <col min="6" max="7" width="32.7109375" style="5" customWidth="1"/>
    <col min="8" max="8" width="6.140625" style="5" customWidth="1"/>
    <col min="9" max="9" width="32.7109375" style="5" customWidth="1"/>
    <col min="10" max="10" width="9.140625" style="48" hidden="1" customWidth="1"/>
    <col min="11" max="16384" width="9.140625" style="5"/>
  </cols>
  <sheetData>
    <row r="1" spans="3:16" s="15" customFormat="1" ht="89.25" customHeight="1" x14ac:dyDescent="0.2">
      <c r="E1" s="300" t="str">
        <f>Tool_Name</f>
        <v>Penetration Testing Management
Maturity Assessment Tool</v>
      </c>
      <c r="F1" s="300"/>
      <c r="G1" s="300"/>
      <c r="J1" s="61"/>
    </row>
    <row r="2" spans="3:16" s="1" customFormat="1" ht="22.5" hidden="1" customHeight="1" x14ac:dyDescent="0.2">
      <c r="E2" s="2"/>
      <c r="F2" s="3"/>
      <c r="G2" s="4"/>
      <c r="H2" s="4"/>
      <c r="I2" s="4"/>
      <c r="J2" s="62"/>
      <c r="K2" s="4"/>
      <c r="L2" s="4"/>
      <c r="M2" s="4"/>
      <c r="N2" s="4"/>
      <c r="O2" s="4"/>
      <c r="P2" s="4"/>
    </row>
    <row r="3" spans="3:16" s="16" customFormat="1" ht="40.5" customHeight="1" x14ac:dyDescent="0.25">
      <c r="E3" s="17" t="s">
        <v>137</v>
      </c>
      <c r="F3" s="51"/>
      <c r="G3" s="18"/>
      <c r="H3" s="18"/>
      <c r="I3" s="18"/>
      <c r="J3" s="63"/>
      <c r="K3" s="18"/>
      <c r="L3" s="18"/>
      <c r="M3" s="18"/>
      <c r="N3" s="18"/>
      <c r="O3" s="18"/>
      <c r="P3" s="18"/>
    </row>
    <row r="4" spans="3:16" s="41" customFormat="1" ht="9.75" customHeight="1" x14ac:dyDescent="0.2">
      <c r="C4" s="42"/>
      <c r="D4" s="42"/>
      <c r="E4" s="43"/>
      <c r="F4" s="44"/>
      <c r="G4" s="45"/>
      <c r="H4" s="45"/>
      <c r="I4" s="45"/>
      <c r="J4" s="64"/>
      <c r="K4" s="45"/>
      <c r="L4" s="45"/>
      <c r="M4" s="45"/>
      <c r="N4" s="45"/>
      <c r="O4" s="45"/>
    </row>
    <row r="5" spans="3:16" s="1" customFormat="1" ht="24.95" customHeight="1" x14ac:dyDescent="0.25">
      <c r="C5" s="46"/>
      <c r="D5" s="47" t="s">
        <v>101</v>
      </c>
      <c r="E5" s="47" t="s">
        <v>99</v>
      </c>
      <c r="F5" s="301"/>
      <c r="G5" s="302"/>
      <c r="H5" s="5"/>
      <c r="I5" s="5"/>
      <c r="J5" s="48"/>
      <c r="K5" s="5"/>
      <c r="L5" s="5"/>
      <c r="M5" s="5"/>
      <c r="N5" s="5"/>
      <c r="O5" s="5"/>
    </row>
    <row r="6" spans="3:16" s="37" customFormat="1" ht="9.75" customHeight="1" x14ac:dyDescent="0.2">
      <c r="C6" s="38"/>
      <c r="D6" s="38"/>
      <c r="E6" s="39"/>
      <c r="F6" s="40"/>
      <c r="G6" s="15"/>
      <c r="H6" s="15"/>
      <c r="I6" s="15"/>
      <c r="J6" s="61"/>
      <c r="K6" s="15"/>
      <c r="L6" s="15"/>
      <c r="M6" s="15"/>
      <c r="N6" s="15"/>
      <c r="O6" s="15"/>
    </row>
    <row r="7" spans="3:16" s="41" customFormat="1" ht="9.75" customHeight="1" x14ac:dyDescent="0.2">
      <c r="C7" s="42"/>
      <c r="D7" s="42"/>
      <c r="E7" s="43"/>
      <c r="F7" s="44"/>
      <c r="G7" s="45"/>
      <c r="H7" s="45"/>
      <c r="I7" s="45"/>
      <c r="J7" s="64"/>
      <c r="K7" s="45"/>
      <c r="L7" s="45"/>
      <c r="M7" s="45"/>
      <c r="N7" s="45"/>
      <c r="O7" s="45"/>
    </row>
    <row r="8" spans="3:16" s="1" customFormat="1" ht="24.95" customHeight="1" x14ac:dyDescent="0.25">
      <c r="C8" s="46"/>
      <c r="D8" s="47" t="s">
        <v>102</v>
      </c>
      <c r="E8" s="47" t="s">
        <v>100</v>
      </c>
      <c r="F8" s="301"/>
      <c r="G8" s="302"/>
      <c r="H8" s="5"/>
      <c r="I8" s="5"/>
      <c r="J8" s="48"/>
      <c r="K8" s="5"/>
      <c r="L8" s="5"/>
      <c r="M8" s="5"/>
      <c r="N8" s="5"/>
      <c r="O8" s="5"/>
    </row>
    <row r="9" spans="3:16" s="37" customFormat="1" ht="9.75" customHeight="1" x14ac:dyDescent="0.2">
      <c r="C9" s="38"/>
      <c r="D9" s="38"/>
      <c r="E9" s="39"/>
      <c r="F9" s="40"/>
      <c r="G9" s="15"/>
      <c r="H9" s="15"/>
      <c r="I9" s="15"/>
      <c r="J9" s="61"/>
      <c r="K9" s="15"/>
      <c r="L9" s="15"/>
      <c r="M9" s="15"/>
      <c r="N9" s="15"/>
      <c r="O9" s="15"/>
    </row>
    <row r="10" spans="3:16" s="41" customFormat="1" ht="9.75" customHeight="1" x14ac:dyDescent="0.2">
      <c r="C10" s="42"/>
      <c r="D10" s="42"/>
      <c r="E10" s="43"/>
      <c r="F10" s="44"/>
      <c r="G10" s="45"/>
      <c r="H10" s="45"/>
      <c r="I10" s="45"/>
      <c r="J10" s="64"/>
      <c r="K10" s="45"/>
      <c r="L10" s="45"/>
      <c r="M10" s="45"/>
      <c r="N10" s="45"/>
      <c r="O10" s="45"/>
    </row>
    <row r="11" spans="3:16" s="1" customFormat="1" ht="24.95" customHeight="1" x14ac:dyDescent="0.25">
      <c r="C11" s="46"/>
      <c r="D11" s="47" t="s">
        <v>103</v>
      </c>
      <c r="E11" s="47" t="s">
        <v>61</v>
      </c>
      <c r="F11" s="301"/>
      <c r="G11" s="302"/>
      <c r="H11" s="5"/>
      <c r="I11" s="5"/>
      <c r="J11" s="48"/>
      <c r="K11" s="5"/>
      <c r="L11" s="5"/>
      <c r="M11" s="5"/>
      <c r="N11" s="5"/>
      <c r="O11" s="5"/>
    </row>
    <row r="12" spans="3:16" s="37" customFormat="1" ht="9.75" customHeight="1" x14ac:dyDescent="0.2">
      <c r="C12" s="38"/>
      <c r="D12" s="38"/>
      <c r="E12" s="39"/>
      <c r="F12" s="40"/>
      <c r="G12" s="15"/>
      <c r="H12" s="15"/>
      <c r="I12" s="15"/>
      <c r="J12" s="61"/>
      <c r="K12" s="15"/>
      <c r="L12" s="15"/>
      <c r="M12" s="15"/>
      <c r="N12" s="15"/>
      <c r="O12" s="15"/>
    </row>
    <row r="13" spans="3:16" s="41" customFormat="1" ht="9.75" customHeight="1" x14ac:dyDescent="0.2">
      <c r="C13" s="42"/>
      <c r="D13" s="42"/>
      <c r="E13" s="43"/>
      <c r="F13" s="44"/>
      <c r="G13" s="45"/>
      <c r="H13" s="45"/>
      <c r="I13" s="45"/>
      <c r="J13" s="64"/>
      <c r="K13" s="45"/>
      <c r="L13" s="45"/>
      <c r="M13" s="45"/>
      <c r="N13" s="45"/>
      <c r="O13" s="45"/>
    </row>
    <row r="14" spans="3:16" s="1" customFormat="1" ht="24.95" customHeight="1" x14ac:dyDescent="0.25">
      <c r="C14" s="46"/>
      <c r="D14" s="47" t="s">
        <v>104</v>
      </c>
      <c r="E14" s="47" t="s">
        <v>58</v>
      </c>
      <c r="F14" s="301"/>
      <c r="G14" s="302"/>
      <c r="H14" s="5"/>
      <c r="I14" s="5"/>
      <c r="J14" s="48"/>
      <c r="K14" s="5"/>
      <c r="L14" s="5"/>
      <c r="M14" s="5"/>
      <c r="N14" s="5"/>
      <c r="O14" s="5"/>
    </row>
    <row r="15" spans="3:16" s="37" customFormat="1" ht="9.75" customHeight="1" x14ac:dyDescent="0.2">
      <c r="C15" s="38"/>
      <c r="D15" s="38"/>
      <c r="E15" s="39"/>
      <c r="F15" s="40"/>
      <c r="G15" s="15"/>
      <c r="H15" s="15"/>
      <c r="I15" s="15"/>
      <c r="J15" s="61"/>
      <c r="K15" s="15"/>
      <c r="L15" s="15"/>
      <c r="M15" s="15"/>
      <c r="N15" s="15"/>
      <c r="O15" s="15"/>
    </row>
    <row r="16" spans="3:16" s="41" customFormat="1" ht="9.75" customHeight="1" x14ac:dyDescent="0.2">
      <c r="C16" s="42"/>
      <c r="D16" s="42"/>
      <c r="E16" s="43"/>
      <c r="F16" s="44"/>
      <c r="G16" s="45"/>
      <c r="H16" s="45"/>
      <c r="I16" s="45"/>
      <c r="J16" s="64"/>
      <c r="K16" s="45"/>
      <c r="L16" s="45"/>
      <c r="M16" s="45"/>
      <c r="N16" s="45"/>
      <c r="O16" s="45"/>
    </row>
    <row r="17" spans="3:15" s="1" customFormat="1" ht="24.95" customHeight="1" x14ac:dyDescent="0.25">
      <c r="C17" s="46"/>
      <c r="D17" s="47" t="s">
        <v>105</v>
      </c>
      <c r="E17" s="47" t="s">
        <v>59</v>
      </c>
      <c r="F17" s="13"/>
      <c r="G17" s="13"/>
      <c r="H17" s="5"/>
      <c r="I17" s="5"/>
      <c r="J17" s="48">
        <v>1</v>
      </c>
      <c r="K17" s="5"/>
      <c r="L17" s="5"/>
      <c r="M17" s="5"/>
      <c r="N17" s="5"/>
      <c r="O17" s="5"/>
    </row>
    <row r="18" spans="3:15" s="37" customFormat="1" ht="9.75" customHeight="1" x14ac:dyDescent="0.2">
      <c r="C18" s="38"/>
      <c r="D18" s="38"/>
      <c r="E18" s="39"/>
      <c r="F18" s="40"/>
      <c r="G18" s="15"/>
      <c r="H18" s="15"/>
      <c r="I18" s="15"/>
      <c r="J18" s="61"/>
      <c r="K18" s="15"/>
      <c r="L18" s="15"/>
      <c r="M18" s="15"/>
      <c r="N18" s="15"/>
      <c r="O18" s="15"/>
    </row>
    <row r="19" spans="3:15" s="41" customFormat="1" ht="9.75" customHeight="1" x14ac:dyDescent="0.2">
      <c r="C19" s="42"/>
      <c r="D19" s="42"/>
      <c r="E19" s="43"/>
      <c r="F19" s="44"/>
      <c r="G19" s="45"/>
      <c r="H19" s="45"/>
      <c r="I19" s="45"/>
      <c r="J19" s="64"/>
      <c r="K19" s="45"/>
      <c r="L19" s="45"/>
      <c r="M19" s="45"/>
      <c r="N19" s="45"/>
      <c r="O19" s="45"/>
    </row>
    <row r="20" spans="3:15" s="1" customFormat="1" ht="24.95" customHeight="1" x14ac:dyDescent="0.25">
      <c r="C20" s="46"/>
      <c r="D20" s="47" t="s">
        <v>106</v>
      </c>
      <c r="E20" s="47" t="s">
        <v>109</v>
      </c>
      <c r="F20" s="13"/>
      <c r="G20" s="13"/>
      <c r="H20" s="5"/>
      <c r="I20" s="5"/>
      <c r="J20" s="48">
        <v>1</v>
      </c>
      <c r="K20" s="5"/>
      <c r="L20" s="5"/>
      <c r="M20" s="5"/>
      <c r="N20" s="5"/>
      <c r="O20" s="5"/>
    </row>
    <row r="21" spans="3:15" s="37" customFormat="1" ht="9.75" customHeight="1" x14ac:dyDescent="0.2">
      <c r="C21" s="38"/>
      <c r="D21" s="38"/>
      <c r="E21" s="39"/>
      <c r="F21" s="40"/>
      <c r="G21" s="15"/>
      <c r="H21" s="15"/>
      <c r="I21" s="15"/>
      <c r="J21" s="61"/>
      <c r="K21" s="15"/>
      <c r="L21" s="15"/>
      <c r="M21" s="15"/>
      <c r="N21" s="15"/>
      <c r="O21" s="15"/>
    </row>
    <row r="22" spans="3:15" s="41" customFormat="1" ht="9.75" customHeight="1" x14ac:dyDescent="0.2">
      <c r="C22" s="42"/>
      <c r="D22" s="42"/>
      <c r="E22" s="43"/>
      <c r="F22" s="44"/>
      <c r="G22" s="45"/>
      <c r="H22" s="45"/>
      <c r="I22" s="45"/>
      <c r="J22" s="64"/>
      <c r="K22" s="45"/>
      <c r="L22" s="45"/>
      <c r="M22" s="45"/>
      <c r="N22" s="45"/>
      <c r="O22" s="45"/>
    </row>
    <row r="23" spans="3:15" s="1" customFormat="1" ht="24.95" customHeight="1" x14ac:dyDescent="0.25">
      <c r="C23" s="46"/>
      <c r="D23" s="47" t="s">
        <v>107</v>
      </c>
      <c r="E23" s="47" t="s">
        <v>119</v>
      </c>
      <c r="F23" s="13"/>
      <c r="G23" s="13"/>
      <c r="H23" s="5"/>
      <c r="I23" s="5"/>
      <c r="J23" s="48">
        <v>1</v>
      </c>
      <c r="K23" s="5"/>
      <c r="L23" s="5"/>
      <c r="M23" s="5"/>
      <c r="N23" s="5"/>
      <c r="O23" s="5"/>
    </row>
    <row r="24" spans="3:15" s="37" customFormat="1" ht="9.75" customHeight="1" x14ac:dyDescent="0.2">
      <c r="C24" s="38"/>
      <c r="D24" s="38"/>
      <c r="E24" s="39"/>
      <c r="F24" s="40"/>
      <c r="G24" s="15"/>
      <c r="H24" s="15"/>
      <c r="I24" s="15"/>
      <c r="J24" s="61"/>
      <c r="K24" s="15"/>
      <c r="L24" s="15"/>
      <c r="M24" s="15"/>
      <c r="N24" s="15"/>
      <c r="O24" s="15"/>
    </row>
    <row r="25" spans="3:15" s="41" customFormat="1" ht="9.75" customHeight="1" x14ac:dyDescent="0.2">
      <c r="C25" s="42"/>
      <c r="D25" s="42"/>
      <c r="E25" s="43"/>
      <c r="F25" s="44"/>
      <c r="G25" s="45"/>
      <c r="H25" s="45"/>
      <c r="I25" s="45"/>
      <c r="J25" s="64"/>
      <c r="K25" s="45"/>
      <c r="L25" s="45"/>
      <c r="M25" s="45"/>
      <c r="N25" s="45"/>
      <c r="O25" s="45"/>
    </row>
    <row r="26" spans="3:15" s="1" customFormat="1" ht="24.95" customHeight="1" x14ac:dyDescent="0.25">
      <c r="C26" s="46"/>
      <c r="D26" s="47" t="s">
        <v>108</v>
      </c>
      <c r="E26" s="47" t="s">
        <v>60</v>
      </c>
      <c r="F26" s="168"/>
      <c r="G26" s="13"/>
      <c r="H26" s="5"/>
      <c r="I26" s="5"/>
      <c r="J26" s="48"/>
      <c r="K26" s="5"/>
      <c r="L26" s="5"/>
      <c r="M26" s="5"/>
      <c r="N26" s="5"/>
      <c r="O26" s="5"/>
    </row>
    <row r="27" spans="3:15" s="37" customFormat="1" ht="9.75" customHeight="1" x14ac:dyDescent="0.2">
      <c r="C27" s="38"/>
      <c r="D27" s="38"/>
      <c r="E27" s="39"/>
      <c r="F27" s="40"/>
      <c r="G27" s="15"/>
      <c r="H27" s="15"/>
      <c r="I27" s="15"/>
      <c r="J27" s="61"/>
      <c r="K27" s="15"/>
      <c r="L27" s="15"/>
      <c r="M27" s="15"/>
      <c r="N27" s="15"/>
      <c r="O27" s="15"/>
    </row>
  </sheetData>
  <sheetProtection algorithmName="SHA-512" hashValue="sYP/lFZLgu8wSefr7hK0ybtaO4lpTTxmZ/MBjONxtu3lqXA6Oz2AWfkVwpvatocu5cCUeZQyhkfFdGcCHl8g0Q==" saltValue="FGYSYMuOBTe2pvDqwemFjQ==" spinCount="100000" sheet="1" objects="1" scenarios="1"/>
  <dataConsolidate/>
  <mergeCells count="5">
    <mergeCell ref="E1:G1"/>
    <mergeCell ref="F5:G5"/>
    <mergeCell ref="F8:G8"/>
    <mergeCell ref="F11:G11"/>
    <mergeCell ref="F14:G14"/>
  </mergeCells>
  <conditionalFormatting sqref="A14:C14 H14:XFD14 E14">
    <cfRule type="expression" dxfId="69" priority="239" stopIfTrue="1">
      <formula>#REF!=11</formula>
    </cfRule>
    <cfRule type="expression" dxfId="68" priority="240">
      <formula>LEN(#REF!)=0</formula>
    </cfRule>
  </conditionalFormatting>
  <conditionalFormatting sqref="A13:XFD13">
    <cfRule type="expression" dxfId="67" priority="237" stopIfTrue="1">
      <formula>#REF!=11</formula>
    </cfRule>
    <cfRule type="expression" dxfId="66" priority="238">
      <formula>LEN(#REF!)=0</formula>
    </cfRule>
  </conditionalFormatting>
  <conditionalFormatting sqref="A15:XFD15">
    <cfRule type="expression" dxfId="65" priority="235" stopIfTrue="1">
      <formula>#REF!=11</formula>
    </cfRule>
    <cfRule type="expression" dxfId="64" priority="236">
      <formula>LEN(#REF!)=0</formula>
    </cfRule>
  </conditionalFormatting>
  <conditionalFormatting sqref="H5:XFD5 A5:E5">
    <cfRule type="expression" dxfId="63" priority="209" stopIfTrue="1">
      <formula>#REF!=11</formula>
    </cfRule>
    <cfRule type="expression" dxfId="62" priority="210">
      <formula>LEN(#REF!)=0</formula>
    </cfRule>
  </conditionalFormatting>
  <conditionalFormatting sqref="A4:XFD4">
    <cfRule type="expression" dxfId="61" priority="207" stopIfTrue="1">
      <formula>#REF!=11</formula>
    </cfRule>
    <cfRule type="expression" dxfId="60" priority="208">
      <formula>LEN(#REF!)=0</formula>
    </cfRule>
  </conditionalFormatting>
  <conditionalFormatting sqref="A6:XFD6">
    <cfRule type="expression" dxfId="59" priority="205" stopIfTrue="1">
      <formula>#REF!=11</formula>
    </cfRule>
    <cfRule type="expression" dxfId="58" priority="206">
      <formula>LEN(#REF!)=0</formula>
    </cfRule>
  </conditionalFormatting>
  <conditionalFormatting sqref="F5">
    <cfRule type="expression" dxfId="57" priority="203" stopIfTrue="1">
      <formula>#REF!=11</formula>
    </cfRule>
    <cfRule type="expression" dxfId="56" priority="204">
      <formula>LEN(#REF!)=0</formula>
    </cfRule>
  </conditionalFormatting>
  <conditionalFormatting sqref="A8:C8 H8:XFD8 E8">
    <cfRule type="expression" dxfId="55" priority="201" stopIfTrue="1">
      <formula>#REF!=11</formula>
    </cfRule>
    <cfRule type="expression" dxfId="54" priority="202">
      <formula>LEN(#REF!)=0</formula>
    </cfRule>
  </conditionalFormatting>
  <conditionalFormatting sqref="A7:XFD7">
    <cfRule type="expression" dxfId="53" priority="199" stopIfTrue="1">
      <formula>#REF!=11</formula>
    </cfRule>
    <cfRule type="expression" dxfId="52" priority="200">
      <formula>LEN(#REF!)=0</formula>
    </cfRule>
  </conditionalFormatting>
  <conditionalFormatting sqref="A9:XFD9">
    <cfRule type="expression" dxfId="51" priority="197" stopIfTrue="1">
      <formula>#REF!=11</formula>
    </cfRule>
    <cfRule type="expression" dxfId="50" priority="198">
      <formula>LEN(#REF!)=0</formula>
    </cfRule>
  </conditionalFormatting>
  <conditionalFormatting sqref="A11:C11 H11:XFD11 E11">
    <cfRule type="expression" dxfId="49" priority="193" stopIfTrue="1">
      <formula>#REF!=11</formula>
    </cfRule>
    <cfRule type="expression" dxfId="48" priority="194">
      <formula>LEN(#REF!)=0</formula>
    </cfRule>
  </conditionalFormatting>
  <conditionalFormatting sqref="A10:XFD10">
    <cfRule type="expression" dxfId="47" priority="191" stopIfTrue="1">
      <formula>#REF!=11</formula>
    </cfRule>
    <cfRule type="expression" dxfId="46" priority="192">
      <formula>LEN(#REF!)=0</formula>
    </cfRule>
  </conditionalFormatting>
  <conditionalFormatting sqref="A12:XFD12">
    <cfRule type="expression" dxfId="45" priority="189" stopIfTrue="1">
      <formula>#REF!=11</formula>
    </cfRule>
    <cfRule type="expression" dxfId="44" priority="190">
      <formula>LEN(#REF!)=0</formula>
    </cfRule>
  </conditionalFormatting>
  <conditionalFormatting sqref="A17:C17 H17:XFD17 E17">
    <cfRule type="expression" dxfId="43" priority="177" stopIfTrue="1">
      <formula>#REF!=11</formula>
    </cfRule>
    <cfRule type="expression" dxfId="42" priority="178">
      <formula>LEN(#REF!)=0</formula>
    </cfRule>
  </conditionalFormatting>
  <conditionalFormatting sqref="A16:XFD16">
    <cfRule type="expression" dxfId="41" priority="175" stopIfTrue="1">
      <formula>#REF!=11</formula>
    </cfRule>
    <cfRule type="expression" dxfId="40" priority="176">
      <formula>LEN(#REF!)=0</formula>
    </cfRule>
  </conditionalFormatting>
  <conditionalFormatting sqref="A18:XFD18">
    <cfRule type="expression" dxfId="39" priority="173" stopIfTrue="1">
      <formula>#REF!=11</formula>
    </cfRule>
    <cfRule type="expression" dxfId="38" priority="174">
      <formula>LEN(#REF!)=0</formula>
    </cfRule>
  </conditionalFormatting>
  <conditionalFormatting sqref="A26:C26 H26:XFD26 E26:F26">
    <cfRule type="expression" dxfId="37" priority="137" stopIfTrue="1">
      <formula>#REF!=11</formula>
    </cfRule>
    <cfRule type="expression" dxfId="36" priority="138">
      <formula>LEN(#REF!)=0</formula>
    </cfRule>
  </conditionalFormatting>
  <conditionalFormatting sqref="A25:XFD25">
    <cfRule type="expression" dxfId="35" priority="135" stopIfTrue="1">
      <formula>#REF!=11</formula>
    </cfRule>
    <cfRule type="expression" dxfId="34" priority="136">
      <formula>LEN(#REF!)=0</formula>
    </cfRule>
  </conditionalFormatting>
  <conditionalFormatting sqref="A27:XFD27">
    <cfRule type="expression" dxfId="33" priority="133" stopIfTrue="1">
      <formula>#REF!=11</formula>
    </cfRule>
    <cfRule type="expression" dxfId="32" priority="134">
      <formula>LEN(#REF!)=0</formula>
    </cfRule>
  </conditionalFormatting>
  <conditionalFormatting sqref="A20:C20 H20:XFD20 E20">
    <cfRule type="expression" dxfId="31" priority="131" stopIfTrue="1">
      <formula>#REF!=11</formula>
    </cfRule>
    <cfRule type="expression" dxfId="30" priority="132">
      <formula>LEN(#REF!)=0</formula>
    </cfRule>
  </conditionalFormatting>
  <conditionalFormatting sqref="A19:XFD19">
    <cfRule type="expression" dxfId="29" priority="129" stopIfTrue="1">
      <formula>#REF!=11</formula>
    </cfRule>
    <cfRule type="expression" dxfId="28" priority="130">
      <formula>LEN(#REF!)=0</formula>
    </cfRule>
  </conditionalFormatting>
  <conditionalFormatting sqref="A21:XFD21">
    <cfRule type="expression" dxfId="27" priority="127" stopIfTrue="1">
      <formula>#REF!=11</formula>
    </cfRule>
    <cfRule type="expression" dxfId="26" priority="128">
      <formula>LEN(#REF!)=0</formula>
    </cfRule>
  </conditionalFormatting>
  <conditionalFormatting sqref="D8">
    <cfRule type="expression" dxfId="25" priority="123" stopIfTrue="1">
      <formula>#REF!=11</formula>
    </cfRule>
    <cfRule type="expression" dxfId="24" priority="124">
      <formula>LEN(#REF!)=0</formula>
    </cfRule>
  </conditionalFormatting>
  <conditionalFormatting sqref="D11">
    <cfRule type="expression" dxfId="23" priority="121" stopIfTrue="1">
      <formula>#REF!=11</formula>
    </cfRule>
    <cfRule type="expression" dxfId="22" priority="122">
      <formula>LEN(#REF!)=0</formula>
    </cfRule>
  </conditionalFormatting>
  <conditionalFormatting sqref="D14">
    <cfRule type="expression" dxfId="21" priority="119" stopIfTrue="1">
      <formula>#REF!=11</formula>
    </cfRule>
    <cfRule type="expression" dxfId="20" priority="120">
      <formula>LEN(#REF!)=0</formula>
    </cfRule>
  </conditionalFormatting>
  <conditionalFormatting sqref="D17">
    <cfRule type="expression" dxfId="19" priority="117" stopIfTrue="1">
      <formula>#REF!=11</formula>
    </cfRule>
    <cfRule type="expression" dxfId="18" priority="118">
      <formula>LEN(#REF!)=0</formula>
    </cfRule>
  </conditionalFormatting>
  <conditionalFormatting sqref="D20">
    <cfRule type="expression" dxfId="17" priority="115" stopIfTrue="1">
      <formula>#REF!=11</formula>
    </cfRule>
    <cfRule type="expression" dxfId="16" priority="116">
      <formula>LEN(#REF!)=0</formula>
    </cfRule>
  </conditionalFormatting>
  <conditionalFormatting sqref="D26">
    <cfRule type="expression" dxfId="15" priority="113" stopIfTrue="1">
      <formula>#REF!=11</formula>
    </cfRule>
    <cfRule type="expression" dxfId="14" priority="114">
      <formula>LEN(#REF!)=0</formula>
    </cfRule>
  </conditionalFormatting>
  <conditionalFormatting sqref="D23">
    <cfRule type="expression" dxfId="13" priority="99" stopIfTrue="1">
      <formula>#REF!=11</formula>
    </cfRule>
    <cfRule type="expression" dxfId="12" priority="100">
      <formula>LEN(#REF!)=0</formula>
    </cfRule>
  </conditionalFormatting>
  <conditionalFormatting sqref="A23:C23 H23:XFD23 E23">
    <cfRule type="expression" dxfId="11" priority="105" stopIfTrue="1">
      <formula>#REF!=11</formula>
    </cfRule>
    <cfRule type="expression" dxfId="10" priority="106">
      <formula>LEN(#REF!)=0</formula>
    </cfRule>
  </conditionalFormatting>
  <conditionalFormatting sqref="A22:XFD22">
    <cfRule type="expression" dxfId="9" priority="103" stopIfTrue="1">
      <formula>#REF!=11</formula>
    </cfRule>
    <cfRule type="expression" dxfId="8" priority="104">
      <formula>LEN(#REF!)=0</formula>
    </cfRule>
  </conditionalFormatting>
  <conditionalFormatting sqref="A24:XFD24">
    <cfRule type="expression" dxfId="7" priority="101" stopIfTrue="1">
      <formula>#REF!=11</formula>
    </cfRule>
    <cfRule type="expression" dxfId="6" priority="102">
      <formula>LEN(#REF!)=0</formula>
    </cfRule>
  </conditionalFormatting>
  <conditionalFormatting sqref="F8">
    <cfRule type="expression" dxfId="5" priority="5" stopIfTrue="1">
      <formula>#REF!=11</formula>
    </cfRule>
    <cfRule type="expression" dxfId="4" priority="6">
      <formula>LEN(#REF!)=0</formula>
    </cfRule>
  </conditionalFormatting>
  <conditionalFormatting sqref="F11">
    <cfRule type="expression" dxfId="3" priority="3" stopIfTrue="1">
      <formula>#REF!=11</formula>
    </cfRule>
    <cfRule type="expression" dxfId="2" priority="4">
      <formula>LEN(#REF!)=0</formula>
    </cfRule>
  </conditionalFormatting>
  <conditionalFormatting sqref="F14">
    <cfRule type="expression" dxfId="1" priority="1" stopIfTrue="1">
      <formula>#REF!=11</formula>
    </cfRule>
    <cfRule type="expression" dxfId="0" priority="2">
      <formula>LEN(#REF!)=0</formula>
    </cfRule>
  </conditionalFormatting>
  <dataValidations count="1">
    <dataValidation type="date" allowBlank="1" showInputMessage="1" showErrorMessage="1" errorTitle="Not a valid date" error="Only dates are valid in this field e.g. 2017-01-24" sqref="F26" xr:uid="{00000000-0002-0000-0200-000000000000}">
      <formula1>1</formula1>
      <formula2>109939</formula2>
    </dataValidation>
  </dataValidations>
  <printOptions horizontalCentered="1"/>
  <pageMargins left="0.51181102362204722" right="0.43307086614173229" top="0.59055118110236227" bottom="0.62992125984251968" header="0.51181102362204722" footer="0.51181102362204722"/>
  <pageSetup paperSize="9" fitToHeight="0" orientation="landscape" horizontalDpi="4294967293"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40" r:id="rId4" name="Drop Down 40">
              <controlPr locked="0" defaultSize="0" autoFill="0" autoPict="0">
                <anchor moveWithCells="1">
                  <from>
                    <xdr:col>5</xdr:col>
                    <xdr:colOff>0</xdr:colOff>
                    <xdr:row>16</xdr:row>
                    <xdr:rowOff>47625</xdr:rowOff>
                  </from>
                  <to>
                    <xdr:col>6</xdr:col>
                    <xdr:colOff>1123950</xdr:colOff>
                    <xdr:row>16</xdr:row>
                    <xdr:rowOff>266700</xdr:rowOff>
                  </to>
                </anchor>
              </controlPr>
            </control>
          </mc:Choice>
        </mc:AlternateContent>
        <mc:AlternateContent xmlns:mc="http://schemas.openxmlformats.org/markup-compatibility/2006">
          <mc:Choice Requires="x14">
            <control shapeId="25646" r:id="rId5" name="Drop Down 46">
              <controlPr locked="0" defaultSize="0" autoFill="0" autoPict="0">
                <anchor moveWithCells="1">
                  <from>
                    <xdr:col>5</xdr:col>
                    <xdr:colOff>0</xdr:colOff>
                    <xdr:row>19</xdr:row>
                    <xdr:rowOff>47625</xdr:rowOff>
                  </from>
                  <to>
                    <xdr:col>6</xdr:col>
                    <xdr:colOff>1123950</xdr:colOff>
                    <xdr:row>19</xdr:row>
                    <xdr:rowOff>266700</xdr:rowOff>
                  </to>
                </anchor>
              </controlPr>
            </control>
          </mc:Choice>
        </mc:AlternateContent>
        <mc:AlternateContent xmlns:mc="http://schemas.openxmlformats.org/markup-compatibility/2006">
          <mc:Choice Requires="x14">
            <control shapeId="25647" r:id="rId6" name="Drop Down 47">
              <controlPr locked="0" defaultSize="0" autoFill="0" autoPict="0">
                <anchor moveWithCells="1">
                  <from>
                    <xdr:col>5</xdr:col>
                    <xdr:colOff>0</xdr:colOff>
                    <xdr:row>22</xdr:row>
                    <xdr:rowOff>47625</xdr:rowOff>
                  </from>
                  <to>
                    <xdr:col>6</xdr:col>
                    <xdr:colOff>1123950</xdr:colOff>
                    <xdr:row>22</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rgb="FFFFFF00"/>
    <pageSetUpPr autoPageBreaks="0" fitToPage="1"/>
  </sheetPr>
  <dimension ref="A1:BA40"/>
  <sheetViews>
    <sheetView showGridLines="0" showRowColHeaders="0" zoomScale="80" zoomScaleNormal="80" workbookViewId="0">
      <selection activeCell="C4" sqref="C4"/>
    </sheetView>
  </sheetViews>
  <sheetFormatPr defaultColWidth="9.140625" defaultRowHeight="15" x14ac:dyDescent="0.25"/>
  <cols>
    <col min="1" max="1" width="4.140625" style="13" customWidth="1"/>
    <col min="2" max="2" width="6.28515625" style="13" hidden="1" customWidth="1"/>
    <col min="3" max="3" width="47.5703125" style="13" hidden="1" customWidth="1"/>
    <col min="4" max="4" width="77" style="13" customWidth="1"/>
    <col min="5" max="5" width="21.5703125" style="13" customWidth="1"/>
    <col min="6" max="6" width="9.7109375" style="13" customWidth="1"/>
    <col min="7" max="8" width="11.85546875" style="13" customWidth="1"/>
    <col min="9" max="9" width="13.5703125" style="13" customWidth="1"/>
    <col min="10" max="10" width="13" style="13" customWidth="1"/>
    <col min="11" max="13" width="9.140625" style="13" hidden="1" customWidth="1"/>
    <col min="14" max="14" width="12" style="13" customWidth="1"/>
    <col min="15" max="17" width="12.85546875" style="13" customWidth="1"/>
    <col min="18" max="19" width="11.42578125" style="13" customWidth="1"/>
    <col min="20" max="20" width="9.140625" style="13" customWidth="1"/>
    <col min="21" max="21" width="9.140625" style="21" customWidth="1"/>
    <col min="22" max="24" width="9.140625" style="13"/>
    <col min="25" max="36" width="9.140625" customWidth="1"/>
    <col min="37" max="37" width="8.85546875" customWidth="1"/>
    <col min="38" max="52" width="9.140625" style="13"/>
    <col min="53" max="53" width="0" style="13" hidden="1" customWidth="1"/>
    <col min="54" max="16384" width="9.140625" style="13"/>
  </cols>
  <sheetData>
    <row r="1" spans="1:53" ht="111.6" customHeight="1" x14ac:dyDescent="0.25">
      <c r="D1" s="108" t="s">
        <v>157</v>
      </c>
      <c r="E1" s="108"/>
      <c r="F1" s="108"/>
      <c r="G1" s="306"/>
      <c r="H1" s="306"/>
      <c r="I1" s="306"/>
      <c r="J1" s="306"/>
      <c r="K1" s="108"/>
      <c r="L1" s="108"/>
      <c r="M1" s="108"/>
      <c r="N1" s="305"/>
      <c r="O1" s="305"/>
      <c r="P1" s="305"/>
      <c r="Q1" s="305"/>
      <c r="R1" s="305"/>
      <c r="S1" s="305"/>
    </row>
    <row r="2" spans="1:53" s="7" customFormat="1" ht="15.75" customHeight="1" x14ac:dyDescent="0.25">
      <c r="B2" s="6"/>
      <c r="C2" s="6" t="s">
        <v>84</v>
      </c>
      <c r="D2" s="35" t="s">
        <v>84</v>
      </c>
      <c r="E2" s="303" t="s">
        <v>12</v>
      </c>
      <c r="F2" s="304"/>
      <c r="G2" s="113"/>
      <c r="H2" s="307" t="s">
        <v>95</v>
      </c>
      <c r="I2" s="307"/>
      <c r="J2" s="114"/>
      <c r="L2" s="166"/>
      <c r="U2" s="166"/>
      <c r="Y2"/>
      <c r="Z2"/>
      <c r="AA2"/>
      <c r="AB2"/>
      <c r="AC2"/>
      <c r="AD2"/>
      <c r="AE2"/>
      <c r="AF2"/>
      <c r="AG2"/>
      <c r="AH2"/>
      <c r="AI2"/>
      <c r="AJ2"/>
      <c r="AK2"/>
      <c r="BA2" s="7" t="b">
        <v>0</v>
      </c>
    </row>
    <row r="3" spans="1:53" ht="30" hidden="1" customHeight="1" x14ac:dyDescent="0.25">
      <c r="A3" s="7"/>
      <c r="B3" s="22" t="s">
        <v>14</v>
      </c>
      <c r="C3" s="22">
        <f ca="1">VLOOKUP(B3,MMAT_Header_Text,2,FALSE)</f>
        <v>0</v>
      </c>
      <c r="D3" s="36" t="str">
        <f ca="1">B3&amp;" - "&amp;C3</f>
        <v>CSIR - 0</v>
      </c>
      <c r="E3" s="23">
        <f ca="1">F3</f>
        <v>0</v>
      </c>
      <c r="F3" s="25">
        <f ca="1">VLOOKUP(B3,MMAT_Header_Text,6,FALSE)</f>
        <v>0</v>
      </c>
      <c r="G3" s="113"/>
      <c r="H3" s="307"/>
      <c r="I3" s="307"/>
      <c r="J3" s="114"/>
      <c r="L3" s="49" t="b">
        <v>1</v>
      </c>
    </row>
    <row r="4" spans="1:53" ht="30" customHeight="1" x14ac:dyDescent="0.25">
      <c r="A4" s="7"/>
      <c r="B4" s="90" t="str">
        <f>'MMAT Ref'!AB2</f>
        <v>A</v>
      </c>
      <c r="C4" s="90" t="str">
        <f t="shared" ref="C4:C28" ca="1" si="0">VLOOKUP(B4,MMAT_Text_Ref,3,FALSE)</f>
        <v>Preparation</v>
      </c>
      <c r="D4" s="91" t="str">
        <f t="shared" ref="D4:D28" ca="1" si="1">VLOOKUP(B4,MMAT_Text_Ref,2,FALSE)&amp; " - "&amp;C4</f>
        <v>Stage A - Preparation</v>
      </c>
      <c r="E4" s="92"/>
      <c r="F4" s="169"/>
      <c r="G4" s="113"/>
      <c r="H4" s="307"/>
      <c r="I4" s="307"/>
      <c r="J4" s="114"/>
      <c r="L4" s="49" t="b">
        <v>0</v>
      </c>
      <c r="N4" s="171" t="s">
        <v>136</v>
      </c>
      <c r="O4" s="173" t="s">
        <v>96</v>
      </c>
      <c r="P4" s="173" t="s">
        <v>79</v>
      </c>
      <c r="Q4" s="173" t="s">
        <v>139</v>
      </c>
      <c r="R4" s="173" t="s">
        <v>80</v>
      </c>
      <c r="S4" s="174" t="s">
        <v>81</v>
      </c>
    </row>
    <row r="5" spans="1:53" ht="30" customHeight="1" x14ac:dyDescent="0.25">
      <c r="A5" s="7"/>
      <c r="B5" s="8" t="str">
        <f>'MMAT Ref'!AB3</f>
        <v>A.1</v>
      </c>
      <c r="C5" s="8" t="str">
        <f t="shared" ca="1" si="0"/>
        <v>Maintain a technical security assurance framework</v>
      </c>
      <c r="D5" s="32" t="str">
        <f t="shared" ca="1" si="1"/>
        <v>Step 1 - Maintain a technical security assurance framework</v>
      </c>
      <c r="E5" s="23">
        <f>F5</f>
        <v>2</v>
      </c>
      <c r="F5" s="211">
        <f>IF(L$3,N5,IF(L$4,O5,IF(L$5,P5,IF(L$6,Q5,IF(L$7,R5,IF(L$8,S5))))))</f>
        <v>2</v>
      </c>
      <c r="L5" s="49" t="b">
        <v>0</v>
      </c>
      <c r="N5" s="205">
        <v>2</v>
      </c>
      <c r="O5" s="206">
        <v>2</v>
      </c>
      <c r="P5" s="206">
        <v>3</v>
      </c>
      <c r="Q5" s="206">
        <v>4</v>
      </c>
      <c r="R5" s="206">
        <v>5</v>
      </c>
      <c r="S5" s="207">
        <v>1</v>
      </c>
    </row>
    <row r="6" spans="1:53" ht="30" customHeight="1" x14ac:dyDescent="0.25">
      <c r="B6" s="8" t="str">
        <f>'MMAT Ref'!AB4</f>
        <v>A.2</v>
      </c>
      <c r="C6" s="8" t="str">
        <f t="shared" ca="1" si="0"/>
        <v>Establish a penetration testing governance structure</v>
      </c>
      <c r="D6" s="8" t="str">
        <f t="shared" ca="1" si="1"/>
        <v>Step 2 - Establish a penetration testing governance structure</v>
      </c>
      <c r="E6" s="23">
        <f>F6</f>
        <v>2</v>
      </c>
      <c r="F6" s="211">
        <f t="shared" ref="F6:F8" si="2">IF(L$3,N6,IF(L$4,O6,IF(L$5,P6,IF(L$6,Q6,IF(L$7,R6,IF(L$8,S6))))))</f>
        <v>2</v>
      </c>
      <c r="L6" s="49" t="b">
        <v>0</v>
      </c>
      <c r="N6" s="205">
        <v>2</v>
      </c>
      <c r="O6" s="206">
        <v>2</v>
      </c>
      <c r="P6" s="206">
        <v>3</v>
      </c>
      <c r="Q6" s="206">
        <v>4</v>
      </c>
      <c r="R6" s="206">
        <v>5</v>
      </c>
      <c r="S6" s="207">
        <v>1</v>
      </c>
    </row>
    <row r="7" spans="1:53" ht="30" customHeight="1" x14ac:dyDescent="0.25">
      <c r="B7" s="8" t="str">
        <f>'MMAT Ref'!AB5</f>
        <v>A.3</v>
      </c>
      <c r="C7" s="8" t="str">
        <f t="shared" ca="1" si="0"/>
        <v>Evaluate drivers for conducting penetration tests</v>
      </c>
      <c r="D7" s="8" t="str">
        <f t="shared" ca="1" si="1"/>
        <v>Step 3 - Evaluate drivers for conducting penetration tests</v>
      </c>
      <c r="E7" s="23">
        <f>F7</f>
        <v>2</v>
      </c>
      <c r="F7" s="211">
        <f t="shared" si="2"/>
        <v>2</v>
      </c>
      <c r="L7" s="49" t="b">
        <v>0</v>
      </c>
      <c r="N7" s="205">
        <v>2</v>
      </c>
      <c r="O7" s="206">
        <v>2</v>
      </c>
      <c r="P7" s="206">
        <v>3</v>
      </c>
      <c r="Q7" s="206">
        <v>4</v>
      </c>
      <c r="R7" s="206">
        <v>5</v>
      </c>
      <c r="S7" s="207">
        <v>1</v>
      </c>
    </row>
    <row r="8" spans="1:53" ht="30" customHeight="1" x14ac:dyDescent="0.25">
      <c r="B8" s="33" t="str">
        <f>'MMAT Ref'!AB6</f>
        <v>A.4</v>
      </c>
      <c r="C8" s="33" t="str">
        <f t="shared" ca="1" si="0"/>
        <v>Identify target environments</v>
      </c>
      <c r="D8" s="33" t="str">
        <f t="shared" ca="1" si="1"/>
        <v>Step 4 - Identify target environments</v>
      </c>
      <c r="E8" s="23">
        <f>F8</f>
        <v>2</v>
      </c>
      <c r="F8" s="211">
        <f t="shared" si="2"/>
        <v>2</v>
      </c>
      <c r="L8" s="49" t="b">
        <v>0</v>
      </c>
      <c r="N8" s="205">
        <v>2</v>
      </c>
      <c r="O8" s="206">
        <v>2</v>
      </c>
      <c r="P8" s="206">
        <v>3</v>
      </c>
      <c r="Q8" s="206">
        <v>4</v>
      </c>
      <c r="R8" s="206">
        <v>5</v>
      </c>
      <c r="S8" s="207">
        <v>1</v>
      </c>
    </row>
    <row r="9" spans="1:53" ht="30" customHeight="1" x14ac:dyDescent="0.25">
      <c r="A9" s="7"/>
      <c r="B9" s="8" t="str">
        <f>'MMAT Ref'!AB7</f>
        <v>A.5</v>
      </c>
      <c r="C9" s="8" t="str">
        <f t="shared" ca="1" si="0"/>
        <v>Define the purpose of the penetration tests</v>
      </c>
      <c r="D9" s="8" t="str">
        <f t="shared" ca="1" si="1"/>
        <v>Step 5 - Define the purpose of the penetration tests</v>
      </c>
      <c r="E9" s="23">
        <f>F9</f>
        <v>2</v>
      </c>
      <c r="F9" s="211">
        <f t="shared" ref="F9" si="3">IF(L$3,N9,IF(L$4,O9,IF(L$5,P9,IF(L$6,Q9,IF(L$7,R9,IF(L$8,S9))))))</f>
        <v>2</v>
      </c>
      <c r="H9" s="85"/>
      <c r="L9" s="49"/>
      <c r="N9" s="205">
        <v>2</v>
      </c>
      <c r="O9" s="206">
        <v>2</v>
      </c>
      <c r="P9" s="206">
        <v>3</v>
      </c>
      <c r="Q9" s="206">
        <v>4</v>
      </c>
      <c r="R9" s="206">
        <v>5</v>
      </c>
      <c r="S9" s="207">
        <v>1</v>
      </c>
      <c r="Y9" s="13"/>
      <c r="Z9" s="13"/>
      <c r="AA9" s="13"/>
      <c r="AB9" s="13"/>
      <c r="AC9" s="13"/>
      <c r="AD9" s="13"/>
      <c r="AE9" s="13"/>
      <c r="AF9" s="13"/>
      <c r="AG9" s="13"/>
      <c r="AH9" s="13"/>
      <c r="AI9" s="13"/>
      <c r="AJ9" s="13"/>
      <c r="AK9" s="13"/>
    </row>
    <row r="10" spans="1:53" ht="30" customHeight="1" x14ac:dyDescent="0.25">
      <c r="B10" s="32" t="str">
        <f>'MMAT Ref'!AB8</f>
        <v>A.6</v>
      </c>
      <c r="C10" s="32" t="str">
        <f t="shared" ca="1" si="0"/>
        <v>Produce requirements specifications</v>
      </c>
      <c r="D10" s="32" t="str">
        <f t="shared" ca="1" si="1"/>
        <v>Step 6 - Produce requirements specifications</v>
      </c>
      <c r="E10" s="23">
        <f t="shared" ref="E10:E13" si="4">F10</f>
        <v>2</v>
      </c>
      <c r="F10" s="211">
        <f t="shared" ref="F10:F14" si="5">IF(L$3,N10,IF(L$4,O10,IF(L$5,P10,IF(L$6,Q10,IF(L$7,R10,IF(L$8,S10))))))</f>
        <v>2</v>
      </c>
      <c r="N10" s="205">
        <v>2</v>
      </c>
      <c r="O10" s="206">
        <v>2</v>
      </c>
      <c r="P10" s="206">
        <v>3</v>
      </c>
      <c r="Q10" s="206">
        <v>4</v>
      </c>
      <c r="R10" s="206">
        <v>5</v>
      </c>
      <c r="S10" s="207">
        <v>1</v>
      </c>
      <c r="Y10" s="13"/>
      <c r="Z10" s="13"/>
      <c r="AA10" s="13"/>
      <c r="AB10" s="13"/>
      <c r="AC10" s="13"/>
      <c r="AD10" s="13"/>
      <c r="AE10" s="13"/>
      <c r="AF10" s="13"/>
      <c r="AG10" s="13"/>
      <c r="AH10" s="13"/>
      <c r="AI10" s="13"/>
      <c r="AJ10" s="13"/>
      <c r="AK10" s="13"/>
    </row>
    <row r="11" spans="1:53" ht="30" customHeight="1" x14ac:dyDescent="0.25">
      <c r="B11" s="8" t="str">
        <f>'MMAT Ref'!AB9</f>
        <v>A.7</v>
      </c>
      <c r="C11" s="8" t="str">
        <f t="shared" ca="1" si="0"/>
        <v>Select suitable suppliers</v>
      </c>
      <c r="D11" s="32" t="str">
        <f t="shared" ca="1" si="1"/>
        <v>Step 7 - Select suitable suppliers</v>
      </c>
      <c r="E11" s="23">
        <f t="shared" si="4"/>
        <v>2</v>
      </c>
      <c r="F11" s="211">
        <f t="shared" si="5"/>
        <v>2</v>
      </c>
      <c r="N11" s="205">
        <v>2</v>
      </c>
      <c r="O11" s="206">
        <v>2</v>
      </c>
      <c r="P11" s="206">
        <v>3</v>
      </c>
      <c r="Q11" s="206">
        <v>4</v>
      </c>
      <c r="R11" s="206">
        <v>5</v>
      </c>
      <c r="S11" s="207">
        <v>1</v>
      </c>
    </row>
    <row r="12" spans="1:53" ht="30" customHeight="1" x14ac:dyDescent="0.25">
      <c r="B12" s="156" t="str">
        <f>'MMAT Ref'!AB10</f>
        <v>B</v>
      </c>
      <c r="C12" s="156" t="str">
        <f t="shared" ca="1" si="0"/>
        <v>Testing</v>
      </c>
      <c r="D12" s="91" t="str">
        <f t="shared" ca="1" si="1"/>
        <v>Stage B - Testing</v>
      </c>
      <c r="E12" s="92"/>
      <c r="F12" s="170"/>
      <c r="N12" s="172"/>
      <c r="O12" s="172"/>
      <c r="P12" s="172"/>
      <c r="Q12" s="172"/>
      <c r="R12" s="172"/>
      <c r="S12" s="172"/>
    </row>
    <row r="13" spans="1:53" ht="30" customHeight="1" x14ac:dyDescent="0.25">
      <c r="B13" s="8" t="str">
        <f>'MMAT Ref'!AB11</f>
        <v>B.1</v>
      </c>
      <c r="C13" s="8" t="str">
        <f t="shared" ca="1" si="0"/>
        <v>Agree testing style and type</v>
      </c>
      <c r="D13" s="8" t="str">
        <f t="shared" ca="1" si="1"/>
        <v>Step 1 - Agree testing style and type</v>
      </c>
      <c r="E13" s="23">
        <f t="shared" si="4"/>
        <v>2</v>
      </c>
      <c r="F13" s="211">
        <f t="shared" si="5"/>
        <v>2</v>
      </c>
      <c r="N13" s="205">
        <v>2</v>
      </c>
      <c r="O13" s="206">
        <v>2</v>
      </c>
      <c r="P13" s="206">
        <v>3</v>
      </c>
      <c r="Q13" s="206">
        <v>4</v>
      </c>
      <c r="R13" s="206">
        <v>5</v>
      </c>
      <c r="S13" s="207">
        <v>1</v>
      </c>
    </row>
    <row r="14" spans="1:53" ht="30" customHeight="1" x14ac:dyDescent="0.25">
      <c r="A14" s="7"/>
      <c r="B14" s="8" t="str">
        <f>'MMAT Ref'!AB12</f>
        <v>B.2</v>
      </c>
      <c r="C14" s="8" t="str">
        <f t="shared" ca="1" si="0"/>
        <v>Identify testing constraints</v>
      </c>
      <c r="D14" s="8" t="str">
        <f t="shared" ca="1" si="1"/>
        <v>Step 2 - Identify testing constraints</v>
      </c>
      <c r="E14" s="23">
        <f>F14</f>
        <v>2</v>
      </c>
      <c r="F14" s="211">
        <f t="shared" si="5"/>
        <v>2</v>
      </c>
      <c r="H14" s="85"/>
      <c r="L14" s="49"/>
      <c r="N14" s="205">
        <v>2</v>
      </c>
      <c r="O14" s="206">
        <v>2</v>
      </c>
      <c r="P14" s="206">
        <v>3</v>
      </c>
      <c r="Q14" s="206">
        <v>4</v>
      </c>
      <c r="R14" s="206">
        <v>5</v>
      </c>
      <c r="S14" s="207">
        <v>1</v>
      </c>
      <c r="Y14" s="13"/>
      <c r="Z14" s="13"/>
      <c r="AA14" s="13"/>
      <c r="AB14" s="13"/>
      <c r="AC14" s="13"/>
      <c r="AD14" s="13"/>
      <c r="AE14" s="13"/>
      <c r="AF14" s="13"/>
      <c r="AG14" s="13"/>
      <c r="AH14" s="13"/>
      <c r="AI14" s="13"/>
      <c r="AJ14" s="13"/>
      <c r="AK14" s="13"/>
    </row>
    <row r="15" spans="1:53" ht="30" customHeight="1" x14ac:dyDescent="0.25">
      <c r="B15" s="8" t="str">
        <f>'MMAT Ref'!AB13</f>
        <v>B.3</v>
      </c>
      <c r="C15" s="8" t="str">
        <f t="shared" ca="1" si="0"/>
        <v>Produce scope statements</v>
      </c>
      <c r="D15" s="8" t="str">
        <f t="shared" ca="1" si="1"/>
        <v>Step 3 - Produce scope statements</v>
      </c>
      <c r="E15" s="23">
        <f>F15</f>
        <v>2</v>
      </c>
      <c r="F15" s="211">
        <f t="shared" ref="F15" si="6">IF(L$3,N15,IF(L$4,O15,IF(L$5,P15,IF(L$6,Q15,IF(L$7,R15,IF(L$8,S15))))))</f>
        <v>2</v>
      </c>
      <c r="N15" s="205">
        <v>2</v>
      </c>
      <c r="O15" s="206">
        <v>2</v>
      </c>
      <c r="P15" s="206">
        <v>3</v>
      </c>
      <c r="Q15" s="206">
        <v>4</v>
      </c>
      <c r="R15" s="206">
        <v>5</v>
      </c>
      <c r="S15" s="207">
        <v>1</v>
      </c>
      <c r="Y15" s="13"/>
      <c r="Z15" s="13"/>
      <c r="AA15" s="13"/>
      <c r="AB15" s="13"/>
      <c r="AC15" s="13"/>
      <c r="AD15" s="13"/>
      <c r="AE15" s="13"/>
      <c r="AF15" s="13"/>
      <c r="AG15" s="13"/>
      <c r="AH15" s="13"/>
      <c r="AI15" s="13"/>
      <c r="AJ15" s="13"/>
      <c r="AK15" s="13"/>
    </row>
    <row r="16" spans="1:53" ht="30" customHeight="1" x14ac:dyDescent="0.25">
      <c r="B16" s="8" t="str">
        <f>'MMAT Ref'!AB14</f>
        <v>B.4</v>
      </c>
      <c r="C16" s="8" t="str">
        <f t="shared" ca="1" si="0"/>
        <v>Establish a management assurance framework</v>
      </c>
      <c r="D16" s="8" t="str">
        <f t="shared" ca="1" si="1"/>
        <v>Step 4 - Establish a management assurance framework</v>
      </c>
      <c r="E16" s="23">
        <f t="shared" ref="E16:E21" si="7">F16</f>
        <v>2</v>
      </c>
      <c r="F16" s="211">
        <f t="shared" ref="F16:F21" si="8">IF(L$3,N16,IF(L$4,O16,IF(L$5,P16,IF(L$6,Q16,IF(L$7,R16,IF(L$8,S16))))))</f>
        <v>2</v>
      </c>
      <c r="N16" s="205">
        <v>2</v>
      </c>
      <c r="O16" s="206">
        <v>2</v>
      </c>
      <c r="P16" s="206">
        <v>3</v>
      </c>
      <c r="Q16" s="206">
        <v>4</v>
      </c>
      <c r="R16" s="206">
        <v>5</v>
      </c>
      <c r="S16" s="207">
        <v>1</v>
      </c>
    </row>
    <row r="17" spans="1:37" ht="30" customHeight="1" x14ac:dyDescent="0.25">
      <c r="B17" s="8" t="str">
        <f>'MMAT Ref'!AB15</f>
        <v>B.5</v>
      </c>
      <c r="C17" s="8" t="str">
        <f t="shared" ca="1" si="0"/>
        <v>Implement management control processes</v>
      </c>
      <c r="D17" s="8" t="str">
        <f t="shared" ca="1" si="1"/>
        <v>Step 5 - Implement management control processes</v>
      </c>
      <c r="E17" s="23">
        <f t="shared" si="7"/>
        <v>2</v>
      </c>
      <c r="F17" s="211">
        <f t="shared" si="8"/>
        <v>2</v>
      </c>
      <c r="N17" s="205">
        <v>2</v>
      </c>
      <c r="O17" s="206">
        <v>2</v>
      </c>
      <c r="P17" s="206">
        <v>3</v>
      </c>
      <c r="Q17" s="206">
        <v>4</v>
      </c>
      <c r="R17" s="206">
        <v>5</v>
      </c>
      <c r="S17" s="207">
        <v>1</v>
      </c>
      <c r="Y17" s="13"/>
      <c r="Z17" s="13"/>
      <c r="AA17" s="13"/>
      <c r="AB17" s="13"/>
      <c r="AC17" s="13"/>
      <c r="AD17" s="13"/>
      <c r="AE17" s="13"/>
      <c r="AF17" s="13"/>
      <c r="AG17" s="13"/>
      <c r="AH17" s="13"/>
      <c r="AI17" s="13"/>
      <c r="AJ17" s="13"/>
      <c r="AK17" s="13"/>
    </row>
    <row r="18" spans="1:37" ht="30" customHeight="1" x14ac:dyDescent="0.25">
      <c r="B18" s="8" t="str">
        <f>'MMAT Ref'!AB16</f>
        <v>B.6</v>
      </c>
      <c r="C18" s="8" t="str">
        <f t="shared" ca="1" si="0"/>
        <v>Use an effective testing methodology</v>
      </c>
      <c r="D18" s="8" t="str">
        <f t="shared" ca="1" si="1"/>
        <v>Step 6 - Use an effective testing methodology</v>
      </c>
      <c r="E18" s="23">
        <f t="shared" si="7"/>
        <v>2</v>
      </c>
      <c r="F18" s="211">
        <f t="shared" si="8"/>
        <v>2</v>
      </c>
      <c r="N18" s="205">
        <v>2</v>
      </c>
      <c r="O18" s="206">
        <v>2</v>
      </c>
      <c r="P18" s="206">
        <v>3</v>
      </c>
      <c r="Q18" s="206">
        <v>4</v>
      </c>
      <c r="R18" s="206">
        <v>5</v>
      </c>
      <c r="S18" s="207">
        <v>1</v>
      </c>
      <c r="Y18" s="13"/>
      <c r="Z18" s="13"/>
      <c r="AA18" s="13"/>
      <c r="AB18" s="13"/>
      <c r="AC18" s="13"/>
      <c r="AD18" s="13"/>
      <c r="AE18" s="13"/>
      <c r="AF18" s="13"/>
      <c r="AG18" s="13"/>
      <c r="AH18" s="13"/>
      <c r="AI18" s="13"/>
      <c r="AJ18" s="13"/>
      <c r="AK18" s="13"/>
    </row>
    <row r="19" spans="1:37" ht="30" customHeight="1" x14ac:dyDescent="0.25">
      <c r="A19" s="7"/>
      <c r="B19" s="8" t="str">
        <f>'MMAT Ref'!AB17</f>
        <v>B.7</v>
      </c>
      <c r="C19" s="8" t="str">
        <f t="shared" ca="1" si="0"/>
        <v>Conduct sufficient research and planning</v>
      </c>
      <c r="D19" s="8" t="str">
        <f t="shared" ca="1" si="1"/>
        <v>Step 7 - Conduct sufficient research and planning</v>
      </c>
      <c r="E19" s="23">
        <f t="shared" si="7"/>
        <v>2</v>
      </c>
      <c r="F19" s="211">
        <f t="shared" si="8"/>
        <v>2</v>
      </c>
      <c r="H19" s="85"/>
      <c r="L19" s="49"/>
      <c r="N19" s="205">
        <v>2</v>
      </c>
      <c r="O19" s="206">
        <v>2</v>
      </c>
      <c r="P19" s="206">
        <v>3</v>
      </c>
      <c r="Q19" s="206">
        <v>4</v>
      </c>
      <c r="R19" s="206">
        <v>5</v>
      </c>
      <c r="S19" s="207">
        <v>1</v>
      </c>
      <c r="Y19" s="13"/>
      <c r="Z19" s="13"/>
      <c r="AA19" s="13"/>
      <c r="AB19" s="13"/>
      <c r="AC19" s="13"/>
      <c r="AD19" s="13"/>
      <c r="AE19" s="13"/>
      <c r="AF19" s="13"/>
      <c r="AG19" s="13"/>
      <c r="AH19" s="13"/>
      <c r="AI19" s="13"/>
      <c r="AJ19" s="13"/>
      <c r="AK19" s="13"/>
    </row>
    <row r="20" spans="1:37" ht="30" customHeight="1" x14ac:dyDescent="0.25">
      <c r="B20" s="8" t="str">
        <f>'MMAT Ref'!AB18</f>
        <v>B.8</v>
      </c>
      <c r="C20" s="8" t="str">
        <f t="shared" ca="1" si="0"/>
        <v>Identify and exploit vulnerabilities</v>
      </c>
      <c r="D20" s="8" t="str">
        <f t="shared" ca="1" si="1"/>
        <v>Step 8 - Identify and exploit vulnerabilities</v>
      </c>
      <c r="E20" s="23">
        <f t="shared" si="7"/>
        <v>2</v>
      </c>
      <c r="F20" s="211">
        <f t="shared" si="8"/>
        <v>2</v>
      </c>
      <c r="N20" s="205">
        <v>2</v>
      </c>
      <c r="O20" s="206">
        <v>2</v>
      </c>
      <c r="P20" s="206">
        <v>3</v>
      </c>
      <c r="Q20" s="206">
        <v>4</v>
      </c>
      <c r="R20" s="206">
        <v>5</v>
      </c>
      <c r="S20" s="207">
        <v>1</v>
      </c>
      <c r="Y20" s="13"/>
      <c r="Z20" s="13"/>
      <c r="AA20" s="13"/>
      <c r="AB20" s="13"/>
      <c r="AC20" s="13"/>
      <c r="AD20" s="13"/>
      <c r="AE20" s="13"/>
      <c r="AF20" s="13"/>
      <c r="AG20" s="13"/>
      <c r="AH20" s="13"/>
      <c r="AI20" s="13"/>
      <c r="AJ20" s="13"/>
      <c r="AK20" s="13"/>
    </row>
    <row r="21" spans="1:37" ht="30" customHeight="1" x14ac:dyDescent="0.25">
      <c r="B21" s="8" t="str">
        <f>'MMAT Ref'!AB19</f>
        <v>B.9</v>
      </c>
      <c r="C21" s="8" t="str">
        <f t="shared" ca="1" si="0"/>
        <v>Report key findings</v>
      </c>
      <c r="D21" s="8" t="str">
        <f t="shared" ca="1" si="1"/>
        <v>Step 9 - Report key findings</v>
      </c>
      <c r="E21" s="23">
        <f t="shared" si="7"/>
        <v>2</v>
      </c>
      <c r="F21" s="211">
        <f t="shared" si="8"/>
        <v>2</v>
      </c>
      <c r="N21" s="205">
        <v>2</v>
      </c>
      <c r="O21" s="206">
        <v>2</v>
      </c>
      <c r="P21" s="206">
        <v>3</v>
      </c>
      <c r="Q21" s="206">
        <v>4</v>
      </c>
      <c r="R21" s="206">
        <v>5</v>
      </c>
      <c r="S21" s="207">
        <v>1</v>
      </c>
      <c r="Y21" s="13"/>
      <c r="Z21" s="13"/>
      <c r="AA21" s="13"/>
      <c r="AB21" s="13"/>
      <c r="AC21" s="13"/>
      <c r="AD21" s="13"/>
      <c r="AE21" s="13"/>
      <c r="AF21" s="13"/>
      <c r="AG21" s="13"/>
      <c r="AH21" s="13"/>
      <c r="AI21" s="13"/>
      <c r="AJ21" s="13"/>
      <c r="AK21" s="13"/>
    </row>
    <row r="22" spans="1:37" ht="30" customHeight="1" x14ac:dyDescent="0.25">
      <c r="B22" s="156" t="str">
        <f>'MMAT Ref'!AB20</f>
        <v>C</v>
      </c>
      <c r="C22" s="156" t="str">
        <f t="shared" ca="1" si="0"/>
        <v>Follow up</v>
      </c>
      <c r="D22" s="91" t="str">
        <f t="shared" ca="1" si="1"/>
        <v>Stage C - Follow up</v>
      </c>
      <c r="E22" s="92"/>
      <c r="F22" s="170"/>
      <c r="N22" s="172"/>
      <c r="O22" s="172"/>
      <c r="P22" s="172"/>
      <c r="Q22" s="172"/>
      <c r="R22" s="172"/>
      <c r="S22" s="172"/>
      <c r="Y22" s="13"/>
      <c r="Z22" s="13"/>
      <c r="AA22" s="13"/>
      <c r="AB22" s="13"/>
      <c r="AC22" s="13"/>
      <c r="AD22" s="13"/>
      <c r="AE22" s="13"/>
      <c r="AF22" s="13"/>
      <c r="AG22" s="13"/>
      <c r="AH22" s="13"/>
      <c r="AI22" s="13"/>
      <c r="AJ22" s="13"/>
      <c r="AK22" s="13"/>
    </row>
    <row r="23" spans="1:37" ht="30" customHeight="1" x14ac:dyDescent="0.25">
      <c r="B23" s="8" t="str">
        <f>'MMAT Ref'!AB21</f>
        <v>C.1</v>
      </c>
      <c r="C23" s="8" t="str">
        <f t="shared" ca="1" si="0"/>
        <v>Remediate weaknesses</v>
      </c>
      <c r="D23" s="8" t="str">
        <f t="shared" ca="1" si="1"/>
        <v>Step 1 - Remediate weaknesses</v>
      </c>
      <c r="E23" s="23">
        <f t="shared" ref="E23:E28" si="9">F23</f>
        <v>2</v>
      </c>
      <c r="F23" s="211">
        <f t="shared" ref="F23:F28" si="10">IF(L$3,N23,IF(L$4,O23,IF(L$5,P23,IF(L$6,Q23,IF(L$7,R23,IF(L$8,S23))))))</f>
        <v>2</v>
      </c>
      <c r="N23" s="205">
        <v>2</v>
      </c>
      <c r="O23" s="206">
        <v>2</v>
      </c>
      <c r="P23" s="206">
        <v>3</v>
      </c>
      <c r="Q23" s="206">
        <v>4</v>
      </c>
      <c r="R23" s="206">
        <v>5</v>
      </c>
      <c r="S23" s="207">
        <v>1</v>
      </c>
      <c r="Y23" s="13"/>
      <c r="Z23" s="13"/>
      <c r="AA23" s="13"/>
      <c r="AB23" s="13"/>
      <c r="AC23" s="13"/>
      <c r="AD23" s="13"/>
      <c r="AE23" s="13"/>
      <c r="AF23" s="13"/>
      <c r="AG23" s="13"/>
      <c r="AH23" s="13"/>
      <c r="AI23" s="13"/>
      <c r="AJ23" s="13"/>
      <c r="AK23" s="13"/>
    </row>
    <row r="24" spans="1:37" ht="30" customHeight="1" x14ac:dyDescent="0.25">
      <c r="B24" s="8" t="str">
        <f>'MMAT Ref'!AB22</f>
        <v>C.2</v>
      </c>
      <c r="C24" s="8" t="str">
        <f t="shared" ca="1" si="0"/>
        <v>Address root causes of weaknesses</v>
      </c>
      <c r="D24" s="8" t="str">
        <f t="shared" ca="1" si="1"/>
        <v>Step 2 - Address root causes of weaknesses</v>
      </c>
      <c r="E24" s="23">
        <f t="shared" si="9"/>
        <v>2</v>
      </c>
      <c r="F24" s="211">
        <f t="shared" si="10"/>
        <v>2</v>
      </c>
      <c r="N24" s="205">
        <v>2</v>
      </c>
      <c r="O24" s="206">
        <v>2</v>
      </c>
      <c r="P24" s="206">
        <v>3</v>
      </c>
      <c r="Q24" s="206">
        <v>4</v>
      </c>
      <c r="R24" s="206">
        <v>5</v>
      </c>
      <c r="S24" s="207">
        <v>1</v>
      </c>
      <c r="Y24" s="13"/>
      <c r="Z24" s="13"/>
      <c r="AA24" s="13"/>
      <c r="AB24" s="13"/>
      <c r="AC24" s="13"/>
      <c r="AD24" s="13"/>
      <c r="AE24" s="13"/>
      <c r="AF24" s="13"/>
      <c r="AG24" s="13"/>
      <c r="AH24" s="13"/>
      <c r="AI24" s="13"/>
      <c r="AJ24" s="13"/>
      <c r="AK24" s="13"/>
    </row>
    <row r="25" spans="1:37" ht="30" customHeight="1" x14ac:dyDescent="0.25">
      <c r="B25" s="8" t="str">
        <f>'MMAT Ref'!AB23</f>
        <v>C.3</v>
      </c>
      <c r="C25" s="8" t="str">
        <f t="shared" ca="1" si="0"/>
        <v>Initiate improvement programme</v>
      </c>
      <c r="D25" s="8" t="str">
        <f t="shared" ca="1" si="1"/>
        <v>Step 3 - Initiate improvement programme</v>
      </c>
      <c r="E25" s="23">
        <f t="shared" si="9"/>
        <v>2</v>
      </c>
      <c r="F25" s="211">
        <f t="shared" si="10"/>
        <v>2</v>
      </c>
      <c r="N25" s="205">
        <v>2</v>
      </c>
      <c r="O25" s="206">
        <v>2</v>
      </c>
      <c r="P25" s="206">
        <v>3</v>
      </c>
      <c r="Q25" s="206">
        <v>4</v>
      </c>
      <c r="R25" s="206">
        <v>5</v>
      </c>
      <c r="S25" s="207">
        <v>1</v>
      </c>
      <c r="Y25" s="13"/>
      <c r="Z25" s="13"/>
      <c r="AA25" s="13"/>
      <c r="AB25" s="13"/>
      <c r="AC25" s="13"/>
      <c r="AD25" s="13"/>
      <c r="AE25" s="13"/>
      <c r="AF25" s="13"/>
      <c r="AG25" s="13"/>
      <c r="AH25" s="13"/>
      <c r="AI25" s="13"/>
      <c r="AJ25" s="13"/>
      <c r="AK25" s="13"/>
    </row>
    <row r="26" spans="1:37" ht="30" customHeight="1" x14ac:dyDescent="0.25">
      <c r="A26" s="7"/>
      <c r="B26" s="8" t="str">
        <f>'MMAT Ref'!AB24</f>
        <v>C.4</v>
      </c>
      <c r="C26" s="8" t="str">
        <f t="shared" ca="1" si="0"/>
        <v>Evaluate penetration testing effectiveness</v>
      </c>
      <c r="D26" s="8" t="str">
        <f t="shared" ca="1" si="1"/>
        <v>Step 4 - Evaluate penetration testing effectiveness</v>
      </c>
      <c r="E26" s="23">
        <f t="shared" si="9"/>
        <v>2</v>
      </c>
      <c r="F26" s="211">
        <f t="shared" si="10"/>
        <v>2</v>
      </c>
      <c r="H26" s="85"/>
      <c r="L26" s="49"/>
      <c r="N26" s="205">
        <v>2</v>
      </c>
      <c r="O26" s="206">
        <v>2</v>
      </c>
      <c r="P26" s="206">
        <v>3</v>
      </c>
      <c r="Q26" s="206">
        <v>4</v>
      </c>
      <c r="R26" s="206">
        <v>5</v>
      </c>
      <c r="S26" s="207">
        <v>1</v>
      </c>
      <c r="Y26" s="13"/>
      <c r="Z26" s="13"/>
      <c r="AA26" s="13"/>
      <c r="AB26" s="13"/>
      <c r="AC26" s="13"/>
      <c r="AD26" s="13"/>
      <c r="AE26" s="13"/>
      <c r="AF26" s="13"/>
      <c r="AG26" s="13"/>
      <c r="AH26" s="13"/>
      <c r="AI26" s="13"/>
      <c r="AJ26" s="13"/>
      <c r="AK26" s="13"/>
    </row>
    <row r="27" spans="1:37" ht="30" customHeight="1" x14ac:dyDescent="0.25">
      <c r="B27" s="8" t="str">
        <f>'MMAT Ref'!AB25</f>
        <v>C.5</v>
      </c>
      <c r="C27" s="8" t="str">
        <f t="shared" ca="1" si="0"/>
        <v>Build on lessons learned</v>
      </c>
      <c r="D27" s="8" t="str">
        <f t="shared" ca="1" si="1"/>
        <v>Step 5 - Build on lessons learned</v>
      </c>
      <c r="E27" s="23">
        <f t="shared" si="9"/>
        <v>2</v>
      </c>
      <c r="F27" s="211">
        <f t="shared" si="10"/>
        <v>2</v>
      </c>
      <c r="N27" s="205">
        <v>2</v>
      </c>
      <c r="O27" s="206">
        <v>2</v>
      </c>
      <c r="P27" s="206">
        <v>3</v>
      </c>
      <c r="Q27" s="206">
        <v>4</v>
      </c>
      <c r="R27" s="206">
        <v>5</v>
      </c>
      <c r="S27" s="207">
        <v>1</v>
      </c>
      <c r="Y27" s="13"/>
      <c r="Z27" s="13"/>
      <c r="AA27" s="13"/>
      <c r="AB27" s="13"/>
      <c r="AC27" s="13"/>
      <c r="AD27" s="13"/>
      <c r="AE27" s="13"/>
      <c r="AF27" s="13"/>
      <c r="AG27" s="13"/>
      <c r="AH27" s="13"/>
      <c r="AI27" s="13"/>
      <c r="AJ27" s="13"/>
      <c r="AK27" s="13"/>
    </row>
    <row r="28" spans="1:37" ht="30" customHeight="1" x14ac:dyDescent="0.25">
      <c r="B28" s="8" t="str">
        <f>'MMAT Ref'!AB26</f>
        <v>C.6</v>
      </c>
      <c r="C28" s="8" t="str">
        <f t="shared" ca="1" si="0"/>
        <v>Create and monitor action plans</v>
      </c>
      <c r="D28" s="8" t="str">
        <f t="shared" ca="1" si="1"/>
        <v>Step 6 - Create and monitor action plans</v>
      </c>
      <c r="E28" s="24">
        <f t="shared" si="9"/>
        <v>2</v>
      </c>
      <c r="F28" s="212">
        <f t="shared" si="10"/>
        <v>2</v>
      </c>
      <c r="N28" s="208">
        <v>2</v>
      </c>
      <c r="O28" s="209">
        <v>2</v>
      </c>
      <c r="P28" s="209">
        <v>3</v>
      </c>
      <c r="Q28" s="209">
        <v>4</v>
      </c>
      <c r="R28" s="209">
        <v>5</v>
      </c>
      <c r="S28" s="210">
        <v>1</v>
      </c>
      <c r="Y28" s="13"/>
      <c r="Z28" s="13"/>
      <c r="AA28" s="13"/>
      <c r="AB28" s="13"/>
      <c r="AC28" s="13"/>
      <c r="AD28" s="13"/>
      <c r="AE28" s="13"/>
      <c r="AF28" s="13"/>
      <c r="AG28" s="13"/>
      <c r="AH28" s="13"/>
      <c r="AI28" s="13"/>
      <c r="AJ28" s="13"/>
      <c r="AK28" s="13"/>
    </row>
    <row r="29" spans="1:37" ht="30" customHeight="1" x14ac:dyDescent="0.25">
      <c r="B29"/>
      <c r="C29"/>
      <c r="D29"/>
      <c r="E29"/>
      <c r="F29" s="21"/>
      <c r="N29"/>
      <c r="O29"/>
      <c r="R29"/>
      <c r="S29"/>
      <c r="T29"/>
      <c r="Y29" s="13"/>
      <c r="Z29" s="13"/>
      <c r="AA29" s="13"/>
      <c r="AB29" s="13"/>
      <c r="AC29" s="13"/>
      <c r="AD29" s="13"/>
      <c r="AE29" s="13"/>
      <c r="AF29" s="13"/>
      <c r="AG29" s="13"/>
      <c r="AH29" s="13"/>
      <c r="AI29" s="13"/>
      <c r="AJ29" s="13"/>
      <c r="AK29" s="13"/>
    </row>
    <row r="30" spans="1:37" ht="30" customHeight="1" x14ac:dyDescent="0.25">
      <c r="B30"/>
      <c r="C30"/>
      <c r="D30"/>
      <c r="E30"/>
      <c r="F30" s="21"/>
      <c r="N30"/>
      <c r="O30"/>
      <c r="R30"/>
      <c r="S30"/>
      <c r="T30"/>
      <c r="Y30" s="13"/>
      <c r="Z30" s="13"/>
      <c r="AA30" s="13"/>
      <c r="AB30" s="13"/>
      <c r="AC30" s="13"/>
      <c r="AD30" s="13"/>
      <c r="AE30" s="13"/>
      <c r="AF30" s="13"/>
      <c r="AG30" s="13"/>
      <c r="AH30" s="13"/>
      <c r="AI30" s="13"/>
      <c r="AJ30" s="13"/>
      <c r="AK30" s="13"/>
    </row>
    <row r="31" spans="1:37" ht="30" customHeight="1" x14ac:dyDescent="0.25">
      <c r="B31"/>
      <c r="C31"/>
      <c r="D31"/>
      <c r="E31"/>
      <c r="F31" s="21"/>
      <c r="N31"/>
      <c r="O31"/>
      <c r="R31"/>
      <c r="S31"/>
      <c r="T31"/>
      <c r="Y31" s="13"/>
      <c r="Z31" s="13"/>
      <c r="AA31" s="13"/>
      <c r="AB31" s="13"/>
      <c r="AC31" s="13"/>
      <c r="AD31" s="13"/>
      <c r="AE31" s="13"/>
      <c r="AF31" s="13"/>
      <c r="AG31" s="13"/>
      <c r="AH31" s="13"/>
      <c r="AI31" s="13"/>
      <c r="AJ31" s="13"/>
      <c r="AK31" s="13"/>
    </row>
    <row r="32" spans="1:37" ht="30" customHeight="1" x14ac:dyDescent="0.25">
      <c r="B32"/>
      <c r="C32"/>
      <c r="D32"/>
      <c r="E32"/>
      <c r="F32" s="21"/>
      <c r="N32"/>
      <c r="O32"/>
      <c r="R32"/>
      <c r="S32"/>
      <c r="T32"/>
      <c r="Y32" s="13"/>
      <c r="Z32" s="13"/>
      <c r="AA32" s="13"/>
      <c r="AB32" s="13"/>
      <c r="AC32" s="13"/>
      <c r="AD32" s="13"/>
      <c r="AE32" s="13"/>
      <c r="AF32" s="13"/>
      <c r="AG32" s="13"/>
      <c r="AH32" s="13"/>
      <c r="AI32" s="13"/>
      <c r="AJ32" s="13"/>
      <c r="AK32" s="13"/>
    </row>
    <row r="33" spans="2:20" x14ac:dyDescent="0.25">
      <c r="B33"/>
      <c r="C33"/>
      <c r="D33"/>
      <c r="E33"/>
      <c r="F33"/>
      <c r="N33"/>
      <c r="O33"/>
      <c r="R33"/>
      <c r="S33"/>
      <c r="T33"/>
    </row>
    <row r="34" spans="2:20" x14ac:dyDescent="0.25">
      <c r="B34"/>
      <c r="C34"/>
      <c r="D34"/>
      <c r="E34"/>
      <c r="F34"/>
      <c r="N34"/>
      <c r="O34"/>
      <c r="R34"/>
      <c r="S34"/>
      <c r="T34"/>
    </row>
    <row r="35" spans="2:20" x14ac:dyDescent="0.25">
      <c r="B35"/>
      <c r="C35"/>
      <c r="D35"/>
      <c r="E35"/>
      <c r="F35"/>
      <c r="N35"/>
      <c r="O35"/>
      <c r="R35"/>
      <c r="S35"/>
      <c r="T35"/>
    </row>
    <row r="36" spans="2:20" x14ac:dyDescent="0.25">
      <c r="B36"/>
      <c r="C36"/>
      <c r="D36"/>
      <c r="E36"/>
      <c r="F36"/>
      <c r="N36"/>
      <c r="O36"/>
      <c r="R36"/>
      <c r="S36"/>
      <c r="T36"/>
    </row>
    <row r="37" spans="2:20" x14ac:dyDescent="0.25">
      <c r="B37"/>
      <c r="C37"/>
      <c r="D37"/>
      <c r="E37"/>
      <c r="F37"/>
      <c r="N37"/>
      <c r="O37"/>
      <c r="R37"/>
      <c r="S37"/>
      <c r="T37"/>
    </row>
    <row r="38" spans="2:20" x14ac:dyDescent="0.25">
      <c r="B38"/>
      <c r="C38"/>
      <c r="D38"/>
      <c r="E38"/>
      <c r="F38"/>
      <c r="N38"/>
      <c r="O38"/>
      <c r="R38"/>
      <c r="S38"/>
      <c r="T38"/>
    </row>
    <row r="39" spans="2:20" x14ac:dyDescent="0.25">
      <c r="N39"/>
      <c r="O39"/>
      <c r="R39"/>
      <c r="S39"/>
      <c r="T39"/>
    </row>
    <row r="40" spans="2:20" x14ac:dyDescent="0.25">
      <c r="N40"/>
      <c r="O40"/>
      <c r="R40"/>
      <c r="S40"/>
      <c r="T40"/>
    </row>
  </sheetData>
  <sheetProtection algorithmName="SHA-512" hashValue="KZORZ6aMZZnV+Kxg+JsXNcERTisixXY0LXUPwSSSoqEIInkj+eU9RiAuvt/0Tw2ATr2W+O5hYcmWiE7c6AY/+g==" saltValue="C4DdcqAncYq6PWvLbVh6xQ==" spinCount="100000" sheet="1" objects="1" scenarios="1"/>
  <mergeCells count="4">
    <mergeCell ref="E2:F2"/>
    <mergeCell ref="N1:S1"/>
    <mergeCell ref="G1:J1"/>
    <mergeCell ref="H2:I4"/>
  </mergeCells>
  <conditionalFormatting sqref="E5">
    <cfRule type="dataBar" priority="22">
      <dataBar>
        <cfvo type="num" val="0"/>
        <cfvo type="num" val="5"/>
        <color theme="7" tint="0.79998168889431442"/>
      </dataBar>
      <extLst>
        <ext xmlns:x14="http://schemas.microsoft.com/office/spreadsheetml/2009/9/main" uri="{B025F937-C7B1-47D3-B67F-A62EFF666E3E}">
          <x14:id>{3A5EB843-3860-4A82-80B4-4C44A3877570}</x14:id>
        </ext>
      </extLst>
    </cfRule>
  </conditionalFormatting>
  <conditionalFormatting sqref="E3">
    <cfRule type="dataBar" priority="21">
      <dataBar>
        <cfvo type="num" val="0"/>
        <cfvo type="num" val="5"/>
        <color rgb="FF7D62A2"/>
      </dataBar>
      <extLst>
        <ext xmlns:x14="http://schemas.microsoft.com/office/spreadsheetml/2009/9/main" uri="{B025F937-C7B1-47D3-B67F-A62EFF666E3E}">
          <x14:id>{841CCB33-F29B-4E70-A417-B7C0567A3CB6}</x14:id>
        </ext>
      </extLst>
    </cfRule>
  </conditionalFormatting>
  <conditionalFormatting sqref="E10:E11 E13">
    <cfRule type="dataBar" priority="13">
      <dataBar>
        <cfvo type="num" val="0"/>
        <cfvo type="num" val="5"/>
        <color theme="7" tint="0.79998168889431442"/>
      </dataBar>
      <extLst>
        <ext xmlns:x14="http://schemas.microsoft.com/office/spreadsheetml/2009/9/main" uri="{B025F937-C7B1-47D3-B67F-A62EFF666E3E}">
          <x14:id>{51E0919E-7F74-433C-A908-6B5D8561F318}</x14:id>
        </ext>
      </extLst>
    </cfRule>
  </conditionalFormatting>
  <conditionalFormatting sqref="E6:E8">
    <cfRule type="dataBar" priority="14">
      <dataBar>
        <cfvo type="num" val="0"/>
        <cfvo type="num" val="5"/>
        <color theme="7" tint="0.79998168889431442"/>
      </dataBar>
      <extLst>
        <ext xmlns:x14="http://schemas.microsoft.com/office/spreadsheetml/2009/9/main" uri="{B025F937-C7B1-47D3-B67F-A62EFF666E3E}">
          <x14:id>{2CB805BE-E250-40DF-9896-EEFA6E14A72C}</x14:id>
        </ext>
      </extLst>
    </cfRule>
  </conditionalFormatting>
  <conditionalFormatting sqref="E14">
    <cfRule type="dataBar" priority="6">
      <dataBar>
        <cfvo type="num" val="0"/>
        <cfvo type="num" val="5"/>
        <color theme="7" tint="0.79998168889431442"/>
      </dataBar>
      <extLst>
        <ext xmlns:x14="http://schemas.microsoft.com/office/spreadsheetml/2009/9/main" uri="{B025F937-C7B1-47D3-B67F-A62EFF666E3E}">
          <x14:id>{28DF80AE-D220-4C68-9D09-A5D78D4EC86D}</x14:id>
        </ext>
      </extLst>
    </cfRule>
  </conditionalFormatting>
  <conditionalFormatting sqref="E16:E21">
    <cfRule type="dataBar" priority="5">
      <dataBar>
        <cfvo type="num" val="0"/>
        <cfvo type="num" val="5"/>
        <color theme="7" tint="0.79998168889431442"/>
      </dataBar>
      <extLst>
        <ext xmlns:x14="http://schemas.microsoft.com/office/spreadsheetml/2009/9/main" uri="{B025F937-C7B1-47D3-B67F-A62EFF666E3E}">
          <x14:id>{EA0D8366-A3EF-4941-845B-165AE688E306}</x14:id>
        </ext>
      </extLst>
    </cfRule>
  </conditionalFormatting>
  <conditionalFormatting sqref="E23:E28">
    <cfRule type="dataBar" priority="4">
      <dataBar>
        <cfvo type="num" val="0"/>
        <cfvo type="num" val="5"/>
        <color theme="7" tint="0.79998168889431442"/>
      </dataBar>
      <extLst>
        <ext xmlns:x14="http://schemas.microsoft.com/office/spreadsheetml/2009/9/main" uri="{B025F937-C7B1-47D3-B67F-A62EFF666E3E}">
          <x14:id>{EB10504F-417E-4D32-975C-6B007B0D88F9}</x14:id>
        </ext>
      </extLst>
    </cfRule>
  </conditionalFormatting>
  <conditionalFormatting sqref="E15">
    <cfRule type="dataBar" priority="2">
      <dataBar>
        <cfvo type="num" val="0"/>
        <cfvo type="num" val="5"/>
        <color theme="7" tint="0.79998168889431442"/>
      </dataBar>
      <extLst>
        <ext xmlns:x14="http://schemas.microsoft.com/office/spreadsheetml/2009/9/main" uri="{B025F937-C7B1-47D3-B67F-A62EFF666E3E}">
          <x14:id>{3937B26D-9772-4DFC-B3AD-DEFACC1C809A}</x14:id>
        </ext>
      </extLst>
    </cfRule>
  </conditionalFormatting>
  <conditionalFormatting sqref="E9">
    <cfRule type="dataBar" priority="1">
      <dataBar>
        <cfvo type="num" val="0"/>
        <cfvo type="num" val="5"/>
        <color theme="7" tint="0.79998168889431442"/>
      </dataBar>
      <extLst>
        <ext xmlns:x14="http://schemas.microsoft.com/office/spreadsheetml/2009/9/main" uri="{B025F937-C7B1-47D3-B67F-A62EFF666E3E}">
          <x14:id>{71F3FDF3-3DB9-43CD-A05F-28AF99C566FB}</x14:id>
        </ext>
      </extLst>
    </cfRule>
  </conditionalFormatting>
  <dataValidations count="1">
    <dataValidation type="decimal" allowBlank="1" showErrorMessage="1" errorTitle="Invalid target" error="Targets must be between 0 and 5" sqref="N23:S28 N5:S11 N13:S21" xr:uid="{00000000-0002-0000-0300-000000000000}">
      <formula1>0</formula1>
      <formula2>5</formula2>
    </dataValidation>
  </dataValidations>
  <pageMargins left="0.7" right="0.7" top="0.75" bottom="0.75" header="0.3" footer="0.3"/>
  <pageSetup paperSize="9" scale="68" fitToHeight="0" orientation="landscape" horizontalDpi="4294967293" r:id="rId1"/>
  <drawing r:id="rId2"/>
  <legacyDrawing r:id="rId3"/>
  <controls>
    <mc:AlternateContent xmlns:mc="http://schemas.openxmlformats.org/markup-compatibility/2006">
      <mc:Choice Requires="x14">
        <control shapeId="67597" r:id="rId4" name="OptionButton4">
          <controlPr defaultSize="0" autoFill="0" autoLine="0" linkedCell="L8" r:id="rId5">
            <anchor moveWithCells="1">
              <from>
                <xdr:col>7</xdr:col>
                <xdr:colOff>104775</xdr:colOff>
                <xdr:row>9</xdr:row>
                <xdr:rowOff>171450</xdr:rowOff>
              </from>
              <to>
                <xdr:col>8</xdr:col>
                <xdr:colOff>752475</xdr:colOff>
                <xdr:row>10</xdr:row>
                <xdr:rowOff>95250</xdr:rowOff>
              </to>
            </anchor>
          </controlPr>
        </control>
      </mc:Choice>
      <mc:Fallback>
        <control shapeId="67597" r:id="rId4" name="OptionButton4"/>
      </mc:Fallback>
    </mc:AlternateContent>
    <mc:AlternateContent xmlns:mc="http://schemas.openxmlformats.org/markup-compatibility/2006">
      <mc:Choice Requires="x14">
        <control shapeId="67596" r:id="rId6" name="OptionButton3">
          <controlPr defaultSize="0" autoFill="0" autoLine="0" linkedCell="L6" r:id="rId7">
            <anchor moveWithCells="1">
              <from>
                <xdr:col>7</xdr:col>
                <xdr:colOff>104775</xdr:colOff>
                <xdr:row>7</xdr:row>
                <xdr:rowOff>161925</xdr:rowOff>
              </from>
              <to>
                <xdr:col>8</xdr:col>
                <xdr:colOff>866775</xdr:colOff>
                <xdr:row>8</xdr:row>
                <xdr:rowOff>95250</xdr:rowOff>
              </to>
            </anchor>
          </controlPr>
        </control>
      </mc:Choice>
      <mc:Fallback>
        <control shapeId="67596" r:id="rId6" name="OptionButton3"/>
      </mc:Fallback>
    </mc:AlternateContent>
    <mc:AlternateContent xmlns:mc="http://schemas.openxmlformats.org/markup-compatibility/2006">
      <mc:Choice Requires="x14">
        <control shapeId="67595" r:id="rId8" name="OptionButton2">
          <controlPr defaultSize="0" autoFill="0" autoLine="0" linkedCell="L5" r:id="rId9">
            <anchor moveWithCells="1">
              <from>
                <xdr:col>7</xdr:col>
                <xdr:colOff>104775</xdr:colOff>
                <xdr:row>6</xdr:row>
                <xdr:rowOff>161925</xdr:rowOff>
              </from>
              <to>
                <xdr:col>8</xdr:col>
                <xdr:colOff>847725</xdr:colOff>
                <xdr:row>7</xdr:row>
                <xdr:rowOff>95250</xdr:rowOff>
              </to>
            </anchor>
          </controlPr>
        </control>
      </mc:Choice>
      <mc:Fallback>
        <control shapeId="67595" r:id="rId8" name="OptionButton2"/>
      </mc:Fallback>
    </mc:AlternateContent>
    <mc:AlternateContent xmlns:mc="http://schemas.openxmlformats.org/markup-compatibility/2006">
      <mc:Choice Requires="x14">
        <control shapeId="67594" r:id="rId10" name="OptionButton1">
          <controlPr defaultSize="0" autoFill="0" autoLine="0" linkedCell="L4" r:id="rId11">
            <anchor moveWithCells="1">
              <from>
                <xdr:col>7</xdr:col>
                <xdr:colOff>104775</xdr:colOff>
                <xdr:row>5</xdr:row>
                <xdr:rowOff>161925</xdr:rowOff>
              </from>
              <to>
                <xdr:col>8</xdr:col>
                <xdr:colOff>809625</xdr:colOff>
                <xdr:row>6</xdr:row>
                <xdr:rowOff>95250</xdr:rowOff>
              </to>
            </anchor>
          </controlPr>
        </control>
      </mc:Choice>
      <mc:Fallback>
        <control shapeId="67594" r:id="rId10" name="OptionButton1"/>
      </mc:Fallback>
    </mc:AlternateContent>
    <mc:AlternateContent xmlns:mc="http://schemas.openxmlformats.org/markup-compatibility/2006">
      <mc:Choice Requires="x14">
        <control shapeId="67599" r:id="rId12" name="OptionButton5">
          <controlPr defaultSize="0" autoFill="0" autoLine="0" linkedCell="L3" r:id="rId13">
            <anchor moveWithCells="1">
              <from>
                <xdr:col>7</xdr:col>
                <xdr:colOff>104775</xdr:colOff>
                <xdr:row>4</xdr:row>
                <xdr:rowOff>152400</xdr:rowOff>
              </from>
              <to>
                <xdr:col>8</xdr:col>
                <xdr:colOff>857250</xdr:colOff>
                <xdr:row>5</xdr:row>
                <xdr:rowOff>85725</xdr:rowOff>
              </to>
            </anchor>
          </controlPr>
        </control>
      </mc:Choice>
      <mc:Fallback>
        <control shapeId="67599" r:id="rId12" name="OptionButton5"/>
      </mc:Fallback>
    </mc:AlternateContent>
    <mc:AlternateContent xmlns:mc="http://schemas.openxmlformats.org/markup-compatibility/2006">
      <mc:Choice Requires="x14">
        <control shapeId="67600" r:id="rId14" name="OptionButton6">
          <controlPr defaultSize="0" autoFill="0" autoLine="0" linkedCell="L7" r:id="rId15">
            <anchor moveWithCells="1">
              <from>
                <xdr:col>7</xdr:col>
                <xdr:colOff>104775</xdr:colOff>
                <xdr:row>8</xdr:row>
                <xdr:rowOff>171450</xdr:rowOff>
              </from>
              <to>
                <xdr:col>8</xdr:col>
                <xdr:colOff>895350</xdr:colOff>
                <xdr:row>9</xdr:row>
                <xdr:rowOff>104775</xdr:rowOff>
              </to>
            </anchor>
          </controlPr>
        </control>
      </mc:Choice>
      <mc:Fallback>
        <control shapeId="67600" r:id="rId14" name="OptionButton6"/>
      </mc:Fallback>
    </mc:AlternateContent>
    <mc:AlternateContent xmlns:mc="http://schemas.openxmlformats.org/markup-compatibility/2006">
      <mc:Choice Requires="x14">
        <control shapeId="67593" r:id="rId16" name="Group Box 9">
          <controlPr defaultSize="0" autoFill="0" autoPict="0" altText="">
            <anchor moveWithCells="1">
              <from>
                <xdr:col>7</xdr:col>
                <xdr:colOff>9525</xdr:colOff>
                <xdr:row>4</xdr:row>
                <xdr:rowOff>19050</xdr:rowOff>
              </from>
              <to>
                <xdr:col>9</xdr:col>
                <xdr:colOff>57150</xdr:colOff>
                <xdr:row>10</xdr:row>
                <xdr:rowOff>238125</xdr:rowOff>
              </to>
            </anchor>
          </controlPr>
        </control>
      </mc:Choice>
    </mc:AlternateContent>
  </controls>
  <extLst>
    <ext xmlns:x14="http://schemas.microsoft.com/office/spreadsheetml/2009/9/main" uri="{78C0D931-6437-407d-A8EE-F0AAD7539E65}">
      <x14:conditionalFormattings>
        <x14:conditionalFormatting xmlns:xm="http://schemas.microsoft.com/office/excel/2006/main">
          <x14:cfRule type="dataBar" id="{3A5EB843-3860-4A82-80B4-4C44A3877570}">
            <x14:dataBar minLength="0" maxLength="100" gradient="0">
              <x14:cfvo type="num">
                <xm:f>0</xm:f>
              </x14:cfvo>
              <x14:cfvo type="num">
                <xm:f>5</xm:f>
              </x14:cfvo>
              <x14:negativeFillColor rgb="FFFF0000"/>
              <x14:axisColor rgb="FF000000"/>
            </x14:dataBar>
          </x14:cfRule>
          <xm:sqref>E5</xm:sqref>
        </x14:conditionalFormatting>
        <x14:conditionalFormatting xmlns:xm="http://schemas.microsoft.com/office/excel/2006/main">
          <x14:cfRule type="dataBar" id="{841CCB33-F29B-4E70-A417-B7C0567A3CB6}">
            <x14:dataBar minLength="0" maxLength="100" gradient="0">
              <x14:cfvo type="num">
                <xm:f>0</xm:f>
              </x14:cfvo>
              <x14:cfvo type="num">
                <xm:f>5</xm:f>
              </x14:cfvo>
              <x14:negativeFillColor rgb="FFFF0000"/>
              <x14:axisColor rgb="FF000000"/>
            </x14:dataBar>
          </x14:cfRule>
          <xm:sqref>E3</xm:sqref>
        </x14:conditionalFormatting>
        <x14:conditionalFormatting xmlns:xm="http://schemas.microsoft.com/office/excel/2006/main">
          <x14:cfRule type="dataBar" id="{51E0919E-7F74-433C-A908-6B5D8561F318}">
            <x14:dataBar minLength="0" maxLength="100" gradient="0">
              <x14:cfvo type="num">
                <xm:f>0</xm:f>
              </x14:cfvo>
              <x14:cfvo type="num">
                <xm:f>5</xm:f>
              </x14:cfvo>
              <x14:negativeFillColor rgb="FFFF0000"/>
              <x14:axisColor rgb="FF000000"/>
            </x14:dataBar>
          </x14:cfRule>
          <xm:sqref>E10:E11 E13</xm:sqref>
        </x14:conditionalFormatting>
        <x14:conditionalFormatting xmlns:xm="http://schemas.microsoft.com/office/excel/2006/main">
          <x14:cfRule type="dataBar" id="{2CB805BE-E250-40DF-9896-EEFA6E14A72C}">
            <x14:dataBar minLength="0" maxLength="100" gradient="0">
              <x14:cfvo type="num">
                <xm:f>0</xm:f>
              </x14:cfvo>
              <x14:cfvo type="num">
                <xm:f>5</xm:f>
              </x14:cfvo>
              <x14:negativeFillColor rgb="FFFF0000"/>
              <x14:axisColor rgb="FF000000"/>
            </x14:dataBar>
          </x14:cfRule>
          <xm:sqref>E6:E8</xm:sqref>
        </x14:conditionalFormatting>
        <x14:conditionalFormatting xmlns:xm="http://schemas.microsoft.com/office/excel/2006/main">
          <x14:cfRule type="dataBar" id="{28DF80AE-D220-4C68-9D09-A5D78D4EC86D}">
            <x14:dataBar minLength="0" maxLength="100" gradient="0">
              <x14:cfvo type="num">
                <xm:f>0</xm:f>
              </x14:cfvo>
              <x14:cfvo type="num">
                <xm:f>5</xm:f>
              </x14:cfvo>
              <x14:negativeFillColor rgb="FFFF0000"/>
              <x14:axisColor rgb="FF000000"/>
            </x14:dataBar>
          </x14:cfRule>
          <xm:sqref>E14</xm:sqref>
        </x14:conditionalFormatting>
        <x14:conditionalFormatting xmlns:xm="http://schemas.microsoft.com/office/excel/2006/main">
          <x14:cfRule type="dataBar" id="{EA0D8366-A3EF-4941-845B-165AE688E306}">
            <x14:dataBar minLength="0" maxLength="100" gradient="0">
              <x14:cfvo type="num">
                <xm:f>0</xm:f>
              </x14:cfvo>
              <x14:cfvo type="num">
                <xm:f>5</xm:f>
              </x14:cfvo>
              <x14:negativeFillColor rgb="FFFF0000"/>
              <x14:axisColor rgb="FF000000"/>
            </x14:dataBar>
          </x14:cfRule>
          <xm:sqref>E16:E21</xm:sqref>
        </x14:conditionalFormatting>
        <x14:conditionalFormatting xmlns:xm="http://schemas.microsoft.com/office/excel/2006/main">
          <x14:cfRule type="dataBar" id="{EB10504F-417E-4D32-975C-6B007B0D88F9}">
            <x14:dataBar minLength="0" maxLength="100" gradient="0">
              <x14:cfvo type="num">
                <xm:f>0</xm:f>
              </x14:cfvo>
              <x14:cfvo type="num">
                <xm:f>5</xm:f>
              </x14:cfvo>
              <x14:negativeFillColor rgb="FFFF0000"/>
              <x14:axisColor rgb="FF000000"/>
            </x14:dataBar>
          </x14:cfRule>
          <xm:sqref>E23:E28</xm:sqref>
        </x14:conditionalFormatting>
        <x14:conditionalFormatting xmlns:xm="http://schemas.microsoft.com/office/excel/2006/main">
          <x14:cfRule type="dataBar" id="{3937B26D-9772-4DFC-B3AD-DEFACC1C809A}">
            <x14:dataBar minLength="0" maxLength="100" gradient="0">
              <x14:cfvo type="num">
                <xm:f>0</xm:f>
              </x14:cfvo>
              <x14:cfvo type="num">
                <xm:f>5</xm:f>
              </x14:cfvo>
              <x14:negativeFillColor rgb="FFFF0000"/>
              <x14:axisColor rgb="FF000000"/>
            </x14:dataBar>
          </x14:cfRule>
          <xm:sqref>E15</xm:sqref>
        </x14:conditionalFormatting>
        <x14:conditionalFormatting xmlns:xm="http://schemas.microsoft.com/office/excel/2006/main">
          <x14:cfRule type="dataBar" id="{71F3FDF3-3DB9-43CD-A05F-28AF99C566FB}">
            <x14:dataBar minLength="0" maxLength="100" gradient="0">
              <x14:cfvo type="num">
                <xm:f>0</xm:f>
              </x14:cfvo>
              <x14:cfvo type="num">
                <xm:f>5</xm:f>
              </x14:cfvo>
              <x14:negativeFillColor rgb="FFFF0000"/>
              <x14:axisColor rgb="FF000000"/>
            </x14:dataBar>
          </x14:cfRule>
          <xm:sqref>E9</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FF00"/>
    <pageSetUpPr autoPageBreaks="0" fitToPage="1"/>
  </sheetPr>
  <dimension ref="A1:AI77"/>
  <sheetViews>
    <sheetView showGridLines="0" showRowColHeaders="0" zoomScaleNormal="100" workbookViewId="0">
      <pane ySplit="7" topLeftCell="A8" activePane="bottomLeft" state="frozen"/>
      <selection activeCell="D1" sqref="D1"/>
      <selection pane="bottomLeft" activeCell="F2" sqref="F2:F5"/>
    </sheetView>
  </sheetViews>
  <sheetFormatPr defaultColWidth="9.140625" defaultRowHeight="15" x14ac:dyDescent="0.25"/>
  <cols>
    <col min="1" max="1" width="9.28515625" style="9" hidden="1" customWidth="1"/>
    <col min="2" max="2" width="8.85546875" style="65" hidden="1" customWidth="1"/>
    <col min="3" max="3" width="8.85546875" style="13" hidden="1" customWidth="1"/>
    <col min="4" max="4" width="6.28515625" style="20" customWidth="1"/>
    <col min="5" max="5" width="15.5703125" style="13" customWidth="1"/>
    <col min="6" max="6" width="67.42578125" style="13" customWidth="1"/>
    <col min="7" max="7" width="20.28515625" style="13" customWidth="1"/>
    <col min="8" max="13" width="12.7109375" style="13" customWidth="1"/>
    <col min="14" max="17" width="9.140625" style="13" customWidth="1"/>
    <col min="18" max="22" width="9.140625" style="21" hidden="1" customWidth="1"/>
    <col min="23" max="24" width="9.140625" style="191" hidden="1" customWidth="1"/>
    <col min="25" max="25" width="9.140625" style="21" hidden="1" customWidth="1"/>
    <col min="26" max="34" width="9.140625" style="19" customWidth="1"/>
    <col min="35" max="35" width="9.140625" style="133" customWidth="1"/>
    <col min="36" max="16384" width="9.140625" style="19"/>
  </cols>
  <sheetData>
    <row r="1" spans="1:35" s="13" customFormat="1" x14ac:dyDescent="0.25">
      <c r="A1" s="9"/>
      <c r="B1" s="65"/>
      <c r="D1" s="20"/>
      <c r="R1" s="21"/>
      <c r="S1" s="21"/>
      <c r="T1" s="21"/>
      <c r="U1" s="21"/>
      <c r="V1" s="21"/>
      <c r="W1" s="191"/>
      <c r="X1" s="191"/>
      <c r="Y1" s="21"/>
      <c r="AI1" s="49"/>
    </row>
    <row r="2" spans="1:35" s="95" customFormat="1" ht="15" customHeight="1" x14ac:dyDescent="0.4">
      <c r="A2" s="93"/>
      <c r="B2" s="94"/>
      <c r="D2" s="74"/>
      <c r="E2" s="19"/>
      <c r="F2" s="308" t="s">
        <v>78</v>
      </c>
      <c r="R2" s="151"/>
      <c r="S2" s="151"/>
      <c r="T2" s="151"/>
      <c r="U2" s="151"/>
      <c r="V2" s="151"/>
      <c r="W2" s="151"/>
      <c r="X2" s="151"/>
      <c r="Y2" s="151"/>
      <c r="AA2" s="145"/>
      <c r="AB2" s="145"/>
      <c r="AC2" s="145"/>
      <c r="AI2" s="96"/>
    </row>
    <row r="3" spans="1:35" s="95" customFormat="1" ht="15" customHeight="1" thickBot="1" x14ac:dyDescent="0.45">
      <c r="A3" s="93"/>
      <c r="B3" s="94"/>
      <c r="D3" s="74"/>
      <c r="E3" s="19"/>
      <c r="F3" s="308"/>
      <c r="I3" s="97" t="s">
        <v>49</v>
      </c>
      <c r="J3" s="97" t="s">
        <v>50</v>
      </c>
      <c r="K3" s="97" t="s">
        <v>51</v>
      </c>
      <c r="L3" s="97" t="s">
        <v>52</v>
      </c>
      <c r="M3" s="97" t="s">
        <v>53</v>
      </c>
      <c r="R3" s="151"/>
      <c r="S3" s="151"/>
      <c r="T3" s="151"/>
      <c r="U3" s="151"/>
      <c r="V3" s="151"/>
      <c r="W3" s="151"/>
      <c r="X3" s="151"/>
      <c r="Y3" s="151"/>
      <c r="AA3" s="145"/>
      <c r="AB3" s="145"/>
      <c r="AC3" s="145"/>
      <c r="AI3" s="96"/>
    </row>
    <row r="4" spans="1:35" s="95" customFormat="1" ht="15" customHeight="1" thickTop="1" thickBot="1" x14ac:dyDescent="0.45">
      <c r="A4" s="93"/>
      <c r="B4" s="94"/>
      <c r="D4" s="74"/>
      <c r="E4" s="19"/>
      <c r="F4" s="308"/>
      <c r="I4" s="98" t="s">
        <v>97</v>
      </c>
      <c r="J4" s="98" t="s">
        <v>54</v>
      </c>
      <c r="K4" s="98" t="s">
        <v>55</v>
      </c>
      <c r="L4" s="98" t="s">
        <v>56</v>
      </c>
      <c r="M4" s="98" t="s">
        <v>57</v>
      </c>
      <c r="R4" s="194">
        <f>VALUE(TRIM(LEFT(I4,FIND("-",I4)-1)))</f>
        <v>0</v>
      </c>
      <c r="S4" s="194">
        <f>VALUE(TRIM(LEFT(J4,FIND("-",J4)-1)))</f>
        <v>9</v>
      </c>
      <c r="T4" s="194">
        <f>VALUE(TRIM(LEFT(K4,FIND("-",K4)-1)))</f>
        <v>31</v>
      </c>
      <c r="U4" s="194">
        <f>VALUE(TRIM(LEFT(L4,FIND("-",L4)-1)))</f>
        <v>71</v>
      </c>
      <c r="V4" s="194">
        <f>VALUE(TRIM(LEFT(M4,FIND("-",M4)-1)))</f>
        <v>93</v>
      </c>
      <c r="W4" s="151"/>
      <c r="X4" s="151"/>
      <c r="Y4" s="151"/>
      <c r="AA4" s="145"/>
      <c r="AB4" s="145"/>
      <c r="AC4" s="145"/>
      <c r="AI4" s="96"/>
    </row>
    <row r="5" spans="1:35" s="95" customFormat="1" ht="15" customHeight="1" thickTop="1" x14ac:dyDescent="0.4">
      <c r="A5" s="93"/>
      <c r="B5" s="94"/>
      <c r="D5" s="74"/>
      <c r="E5" s="19"/>
      <c r="F5" s="308"/>
      <c r="I5" s="99" t="s">
        <v>36</v>
      </c>
      <c r="J5" s="99" t="s">
        <v>37</v>
      </c>
      <c r="K5" s="99" t="s">
        <v>38</v>
      </c>
      <c r="L5" s="99" t="s">
        <v>39</v>
      </c>
      <c r="M5" s="99" t="s">
        <v>40</v>
      </c>
      <c r="R5" s="194" t="s">
        <v>36</v>
      </c>
      <c r="S5" s="194" t="s">
        <v>37</v>
      </c>
      <c r="T5" s="194" t="s">
        <v>38</v>
      </c>
      <c r="U5" s="194" t="s">
        <v>39</v>
      </c>
      <c r="V5" s="194" t="s">
        <v>40</v>
      </c>
      <c r="W5" s="151"/>
      <c r="X5" s="151"/>
      <c r="Y5" s="151"/>
      <c r="AA5" s="145"/>
      <c r="AB5" s="145"/>
      <c r="AC5" s="145"/>
      <c r="AI5" s="96"/>
    </row>
    <row r="6" spans="1:35" s="13" customFormat="1" ht="11.25" customHeight="1" x14ac:dyDescent="0.25">
      <c r="A6" s="9"/>
      <c r="B6" s="65"/>
      <c r="D6" s="20"/>
      <c r="R6" s="21">
        <v>1</v>
      </c>
      <c r="S6" s="21">
        <v>2</v>
      </c>
      <c r="T6" s="21">
        <v>3</v>
      </c>
      <c r="U6" s="21">
        <v>4</v>
      </c>
      <c r="V6" s="21">
        <v>5</v>
      </c>
      <c r="W6" s="191"/>
      <c r="X6" s="191"/>
      <c r="Y6" s="21"/>
      <c r="AI6" s="49"/>
    </row>
    <row r="7" spans="1:35" s="13" customFormat="1" ht="36" customHeight="1" x14ac:dyDescent="0.3">
      <c r="A7" s="9" t="s">
        <v>67</v>
      </c>
      <c r="B7" s="65" t="s">
        <v>72</v>
      </c>
      <c r="C7" s="13" t="s">
        <v>71</v>
      </c>
      <c r="D7" s="20"/>
      <c r="F7" s="34"/>
      <c r="G7" s="52" t="s">
        <v>8</v>
      </c>
      <c r="H7" s="58"/>
      <c r="I7" s="58"/>
      <c r="J7" s="58"/>
      <c r="K7" s="58"/>
      <c r="L7" s="58"/>
      <c r="R7" s="21"/>
      <c r="S7" s="21"/>
      <c r="T7" s="21"/>
      <c r="U7" s="21"/>
      <c r="V7" s="21"/>
      <c r="W7" s="191"/>
      <c r="X7" s="191"/>
      <c r="Y7" s="21"/>
      <c r="AD7" s="144"/>
      <c r="AE7" s="144"/>
      <c r="AF7" s="144"/>
      <c r="AG7" s="144"/>
      <c r="AI7" s="49"/>
    </row>
    <row r="8" spans="1:35" s="74" customFormat="1" ht="35.1" customHeight="1" x14ac:dyDescent="0.25">
      <c r="A8" s="72">
        <v>1</v>
      </c>
      <c r="B8" s="148" t="str">
        <f t="shared" ref="B8:B39" si="0">VLOOKUP(A8,contentrefmockup,2,FALSE)</f>
        <v>A</v>
      </c>
      <c r="C8" s="20">
        <f t="shared" ref="C8:C39" si="1">VLOOKUP(A8,contentrefmockup,15,FALSE)</f>
        <v>1</v>
      </c>
      <c r="D8" s="20" t="s">
        <v>134</v>
      </c>
      <c r="E8" s="110" t="str">
        <f t="shared" ref="E8:E39" si="2">IF(C8=1,"Stage "&amp;B8,IF(C8=2,"Step "&amp;VLOOKUP(A8,contentrefmockup,4,FALSE),B8))</f>
        <v>Stage A</v>
      </c>
      <c r="F8" s="111" t="str">
        <f t="shared" ref="F8:F39" si="3">VLOOKUP(A8,contentrefmockup,7,FALSE)</f>
        <v>Preparation</v>
      </c>
      <c r="G8" s="103"/>
      <c r="H8" s="104"/>
      <c r="I8" s="104"/>
      <c r="J8" s="104"/>
      <c r="K8" s="104"/>
      <c r="L8" s="104"/>
      <c r="M8" s="103"/>
      <c r="N8" s="103"/>
      <c r="O8" s="103"/>
      <c r="P8" s="103"/>
      <c r="Q8" s="103"/>
      <c r="R8" s="195"/>
      <c r="S8" s="195"/>
      <c r="T8" s="196" t="str">
        <f t="shared" ref="T8:T39" si="4">E8</f>
        <v>Stage A</v>
      </c>
      <c r="U8" s="195"/>
      <c r="V8" s="195"/>
      <c r="W8" s="154">
        <v>0</v>
      </c>
      <c r="X8" s="154">
        <f t="shared" ref="X8:X39" si="5">VLOOKUP(A8,contentrefmockup,8,FALSE)</f>
        <v>0</v>
      </c>
      <c r="Y8" s="192" t="e">
        <f t="shared" ref="Y8:Y39" si="6">VLOOKUP(W8,weighting_response_reverse,2,FALSE)</f>
        <v>#N/A</v>
      </c>
      <c r="AI8" s="79"/>
    </row>
    <row r="9" spans="1:35" s="74" customFormat="1" ht="30" customHeight="1" x14ac:dyDescent="0.25">
      <c r="A9" s="72">
        <v>2</v>
      </c>
      <c r="B9" s="148" t="str">
        <f t="shared" si="0"/>
        <v>A.1</v>
      </c>
      <c r="C9" s="20">
        <f t="shared" si="1"/>
        <v>2</v>
      </c>
      <c r="D9" s="20"/>
      <c r="E9" s="66" t="str">
        <f t="shared" si="2"/>
        <v>Step 1</v>
      </c>
      <c r="F9" s="221" t="str">
        <f t="shared" si="3"/>
        <v>Maintain a technical security assurance framework</v>
      </c>
      <c r="G9" s="221"/>
      <c r="H9" s="221"/>
      <c r="I9" s="221"/>
      <c r="J9" s="221"/>
      <c r="K9" s="221"/>
      <c r="L9" s="221"/>
      <c r="M9" s="221"/>
      <c r="N9" s="221"/>
      <c r="O9" s="221"/>
      <c r="P9" s="221"/>
      <c r="Q9" s="221"/>
      <c r="R9" s="222"/>
      <c r="S9" s="223"/>
      <c r="T9" s="196" t="str">
        <f t="shared" si="4"/>
        <v>Step 1</v>
      </c>
      <c r="U9" s="223"/>
      <c r="V9" s="223"/>
      <c r="W9" s="154">
        <v>0</v>
      </c>
      <c r="X9" s="154">
        <f t="shared" si="5"/>
        <v>0</v>
      </c>
      <c r="Y9" s="192" t="e">
        <f t="shared" si="6"/>
        <v>#N/A</v>
      </c>
      <c r="AI9" s="79"/>
    </row>
    <row r="10" spans="1:35" s="74" customFormat="1" ht="45" x14ac:dyDescent="0.25">
      <c r="A10" s="72">
        <v>3</v>
      </c>
      <c r="B10" s="148" t="str">
        <f t="shared" si="0"/>
        <v>A.1.01</v>
      </c>
      <c r="C10" s="20">
        <f t="shared" si="1"/>
        <v>5</v>
      </c>
      <c r="D10" s="20"/>
      <c r="E10" s="183" t="str">
        <f t="shared" si="2"/>
        <v>A.1.01</v>
      </c>
      <c r="F10" s="186" t="str">
        <f t="shared" si="3"/>
        <v>Do you maintain an approved technical security assurance framework, which is focused on protecting your most critical information and systems?</v>
      </c>
      <c r="G10" s="188"/>
      <c r="H10" s="190"/>
      <c r="I10" s="190"/>
      <c r="J10" s="190"/>
      <c r="K10" s="190"/>
      <c r="L10" s="190"/>
      <c r="M10" s="190"/>
      <c r="N10" s="20"/>
      <c r="O10" s="20"/>
      <c r="P10" s="20"/>
      <c r="Q10" s="20"/>
      <c r="R10" s="135"/>
      <c r="S10" s="135"/>
      <c r="T10" s="196" t="str">
        <f t="shared" si="4"/>
        <v>A.1.01</v>
      </c>
      <c r="U10" s="135"/>
      <c r="V10" s="135"/>
      <c r="W10" s="154">
        <v>1</v>
      </c>
      <c r="X10" s="154">
        <f t="shared" si="5"/>
        <v>1</v>
      </c>
      <c r="Y10" s="192" t="str">
        <f t="shared" si="6"/>
        <v>x 1</v>
      </c>
      <c r="AI10" s="79"/>
    </row>
    <row r="11" spans="1:35" s="75" customFormat="1" ht="120" x14ac:dyDescent="0.25">
      <c r="A11" s="67">
        <v>4</v>
      </c>
      <c r="B11" s="146" t="str">
        <f t="shared" si="0"/>
        <v/>
      </c>
      <c r="C11" s="69">
        <f t="shared" si="1"/>
        <v>3</v>
      </c>
      <c r="D11" s="20"/>
      <c r="E11" s="70" t="str">
        <f t="shared" si="2"/>
        <v/>
      </c>
      <c r="F11" s="147" t="str">
        <f t="shared" si="3"/>
        <v>A technical security assurance framework would typically include multiple environments for testing, a security architecture, an ongoing security monitoring services (e.g. in a SOC), an adequate range of technical security services and a balanced selection of preventative, detective and reactive security controls; supported by sufficient budget, skilled resources, processes, tools and technologies, adequate management support and an IT or Cyber security risk management programme.</v>
      </c>
      <c r="G11" s="149"/>
      <c r="H11" s="150"/>
      <c r="I11" s="150"/>
      <c r="J11" s="150"/>
      <c r="K11" s="150"/>
      <c r="L11" s="150"/>
      <c r="M11" s="150"/>
      <c r="N11" s="69"/>
      <c r="O11" s="69"/>
      <c r="P11" s="69"/>
      <c r="Q11" s="69"/>
      <c r="R11" s="200"/>
      <c r="S11" s="200"/>
      <c r="T11" s="199" t="str">
        <f t="shared" si="4"/>
        <v/>
      </c>
      <c r="U11" s="200"/>
      <c r="V11" s="200"/>
      <c r="W11" s="82">
        <v>0</v>
      </c>
      <c r="X11" s="82">
        <f t="shared" si="5"/>
        <v>0</v>
      </c>
      <c r="Y11" s="193" t="e">
        <f t="shared" si="6"/>
        <v>#N/A</v>
      </c>
      <c r="AH11" s="20"/>
      <c r="AI11" s="80"/>
    </row>
    <row r="12" spans="1:35" s="75" customFormat="1" ht="30" customHeight="1" x14ac:dyDescent="0.25">
      <c r="A12" s="67">
        <v>5</v>
      </c>
      <c r="B12" s="146" t="str">
        <f t="shared" si="0"/>
        <v>A.2</v>
      </c>
      <c r="C12" s="69">
        <f t="shared" si="1"/>
        <v>2</v>
      </c>
      <c r="D12" s="20"/>
      <c r="E12" s="181" t="str">
        <f t="shared" si="2"/>
        <v>Step 2</v>
      </c>
      <c r="F12" s="184" t="str">
        <f t="shared" si="3"/>
        <v>Establish a penetration testing governance structure</v>
      </c>
      <c r="G12" s="184"/>
      <c r="H12" s="184"/>
      <c r="I12" s="184"/>
      <c r="J12" s="184"/>
      <c r="K12" s="184"/>
      <c r="L12" s="184"/>
      <c r="M12" s="184"/>
      <c r="N12" s="184"/>
      <c r="O12" s="184"/>
      <c r="P12" s="184"/>
      <c r="Q12" s="184"/>
      <c r="R12" s="197"/>
      <c r="S12" s="198"/>
      <c r="T12" s="199" t="str">
        <f t="shared" si="4"/>
        <v>Step 2</v>
      </c>
      <c r="U12" s="198"/>
      <c r="V12" s="198"/>
      <c r="W12" s="82">
        <v>0</v>
      </c>
      <c r="X12" s="82">
        <f t="shared" si="5"/>
        <v>0</v>
      </c>
      <c r="Y12" s="193" t="e">
        <f t="shared" si="6"/>
        <v>#N/A</v>
      </c>
      <c r="AH12" s="74"/>
      <c r="AI12" s="80"/>
    </row>
    <row r="13" spans="1:35" s="75" customFormat="1" ht="30" x14ac:dyDescent="0.25">
      <c r="A13" s="67">
        <v>6</v>
      </c>
      <c r="B13" s="146" t="str">
        <f t="shared" si="0"/>
        <v>A.2.01</v>
      </c>
      <c r="C13" s="69">
        <f t="shared" si="1"/>
        <v>5</v>
      </c>
      <c r="D13" s="20"/>
      <c r="E13" s="70" t="str">
        <f t="shared" si="2"/>
        <v>A.2.01</v>
      </c>
      <c r="F13" s="71" t="str">
        <f t="shared" si="3"/>
        <v>Have you established a suitable governance structure to oversee and coordinate a regular penetration testing programme?</v>
      </c>
      <c r="G13" s="149"/>
      <c r="H13" s="150"/>
      <c r="I13" s="150"/>
      <c r="J13" s="150"/>
      <c r="K13" s="150"/>
      <c r="L13" s="150"/>
      <c r="M13" s="150"/>
      <c r="N13" s="69"/>
      <c r="O13" s="69"/>
      <c r="P13" s="69"/>
      <c r="Q13" s="69"/>
      <c r="R13" s="200"/>
      <c r="S13" s="200"/>
      <c r="T13" s="199" t="str">
        <f t="shared" si="4"/>
        <v>A.2.01</v>
      </c>
      <c r="U13" s="200"/>
      <c r="V13" s="200"/>
      <c r="W13" s="82">
        <v>1</v>
      </c>
      <c r="X13" s="82">
        <f t="shared" si="5"/>
        <v>1</v>
      </c>
      <c r="Y13" s="193" t="str">
        <f t="shared" si="6"/>
        <v>x 1</v>
      </c>
      <c r="AH13" s="74"/>
      <c r="AI13" s="80"/>
    </row>
    <row r="14" spans="1:35" s="75" customFormat="1" ht="135" x14ac:dyDescent="0.25">
      <c r="A14" s="67">
        <v>7</v>
      </c>
      <c r="B14" s="146" t="str">
        <f t="shared" si="0"/>
        <v/>
      </c>
      <c r="C14" s="69">
        <f t="shared" si="1"/>
        <v>3</v>
      </c>
      <c r="D14" s="20"/>
      <c r="E14" s="70" t="str">
        <f t="shared" si="2"/>
        <v/>
      </c>
      <c r="F14" s="147" t="str">
        <f t="shared" si="3"/>
        <v>An effective governance structure for penetration testing would typically cover all main systems enterprise-wide (while focusing on the most critical), through a penetration testing programme that includes penetration testing processes and methodologies, supplier selection criteria, and a penetration testing assurance management framework; supported by a joint management and technical team to agree the programme and scope of regular penetration testing, an effective change management process and a set of key performance indicators for the results of the penetration tests.</v>
      </c>
      <c r="G14" s="149"/>
      <c r="H14" s="150"/>
      <c r="I14" s="150"/>
      <c r="J14" s="150"/>
      <c r="K14" s="150"/>
      <c r="L14" s="150"/>
      <c r="M14" s="150"/>
      <c r="N14" s="69"/>
      <c r="O14" s="69"/>
      <c r="P14" s="69"/>
      <c r="Q14" s="69"/>
      <c r="R14" s="200"/>
      <c r="S14" s="200"/>
      <c r="T14" s="199" t="str">
        <f t="shared" si="4"/>
        <v/>
      </c>
      <c r="U14" s="200"/>
      <c r="V14" s="200"/>
      <c r="W14" s="82">
        <v>0</v>
      </c>
      <c r="X14" s="82">
        <f t="shared" si="5"/>
        <v>0</v>
      </c>
      <c r="Y14" s="193" t="e">
        <f t="shared" si="6"/>
        <v>#N/A</v>
      </c>
      <c r="AH14" s="20"/>
      <c r="AI14" s="80"/>
    </row>
    <row r="15" spans="1:35" s="75" customFormat="1" ht="30" customHeight="1" x14ac:dyDescent="0.25">
      <c r="A15" s="67">
        <v>8</v>
      </c>
      <c r="B15" s="146" t="str">
        <f t="shared" si="0"/>
        <v>A.3</v>
      </c>
      <c r="C15" s="69">
        <f t="shared" si="1"/>
        <v>2</v>
      </c>
      <c r="D15" s="20"/>
      <c r="E15" s="181" t="str">
        <f t="shared" si="2"/>
        <v>Step 3</v>
      </c>
      <c r="F15" s="184" t="str">
        <f t="shared" si="3"/>
        <v>Evaluate drivers for conducting penetration tests</v>
      </c>
      <c r="G15" s="184"/>
      <c r="H15" s="184"/>
      <c r="I15" s="184"/>
      <c r="J15" s="184"/>
      <c r="K15" s="184"/>
      <c r="L15" s="184"/>
      <c r="M15" s="184"/>
      <c r="N15" s="184"/>
      <c r="O15" s="184"/>
      <c r="P15" s="184"/>
      <c r="Q15" s="184"/>
      <c r="R15" s="197"/>
      <c r="S15" s="198"/>
      <c r="T15" s="199" t="str">
        <f t="shared" si="4"/>
        <v>Step 3</v>
      </c>
      <c r="U15" s="198"/>
      <c r="V15" s="198"/>
      <c r="W15" s="82">
        <v>0</v>
      </c>
      <c r="X15" s="82">
        <f t="shared" si="5"/>
        <v>0</v>
      </c>
      <c r="Y15" s="193" t="e">
        <f t="shared" si="6"/>
        <v>#N/A</v>
      </c>
      <c r="AH15" s="74"/>
      <c r="AI15" s="80"/>
    </row>
    <row r="16" spans="1:35" s="75" customFormat="1" ht="60" x14ac:dyDescent="0.25">
      <c r="A16" s="67">
        <v>9</v>
      </c>
      <c r="B16" s="146" t="str">
        <f t="shared" si="0"/>
        <v>A.3.01</v>
      </c>
      <c r="C16" s="69">
        <f t="shared" si="1"/>
        <v>5</v>
      </c>
      <c r="D16" s="20"/>
      <c r="E16" s="70" t="str">
        <f t="shared" si="2"/>
        <v>A.3.01</v>
      </c>
      <c r="F16" s="71" t="str">
        <f t="shared" si="3"/>
        <v>Have you identified drivers for carrying out penetration tests as part of a technical assurance programme, based on an evaluation of relevant criteria, such as the impact of serious incidents, increased threat levels or significant changes to business or IT processes?</v>
      </c>
      <c r="G16" s="149"/>
      <c r="H16" s="150"/>
      <c r="I16" s="150"/>
      <c r="J16" s="150"/>
      <c r="K16" s="150"/>
      <c r="L16" s="150"/>
      <c r="M16" s="150"/>
      <c r="N16" s="69"/>
      <c r="O16" s="69"/>
      <c r="P16" s="69"/>
      <c r="Q16" s="69"/>
      <c r="R16" s="200"/>
      <c r="S16" s="200"/>
      <c r="T16" s="199" t="str">
        <f t="shared" si="4"/>
        <v>A.3.01</v>
      </c>
      <c r="U16" s="200"/>
      <c r="V16" s="200"/>
      <c r="W16" s="82">
        <v>1</v>
      </c>
      <c r="X16" s="82">
        <f t="shared" si="5"/>
        <v>1</v>
      </c>
      <c r="Y16" s="193" t="str">
        <f t="shared" si="6"/>
        <v>x 1</v>
      </c>
      <c r="AH16" s="74"/>
      <c r="AI16" s="80"/>
    </row>
    <row r="17" spans="1:35" s="75" customFormat="1" ht="90" x14ac:dyDescent="0.25">
      <c r="A17" s="67">
        <v>10</v>
      </c>
      <c r="B17" s="146" t="str">
        <f t="shared" si="0"/>
        <v/>
      </c>
      <c r="C17" s="69">
        <f t="shared" si="1"/>
        <v>3</v>
      </c>
      <c r="D17" s="20"/>
      <c r="E17" s="70" t="str">
        <f t="shared" si="2"/>
        <v/>
      </c>
      <c r="F17" s="147" t="str">
        <f t="shared" si="3"/>
        <v>Drivers for carrying out penetration tests should: be placed within a wider context of security assessment and strategy to contextualise the findings and recommendations; focus on ensuring that major system vulnerabilities are identified and addressed; and help to reduce the risk of discovering that the same problems still exist the next time a penetration test is carried out.</v>
      </c>
      <c r="G17" s="149"/>
      <c r="H17" s="150"/>
      <c r="I17" s="150"/>
      <c r="J17" s="150"/>
      <c r="K17" s="150"/>
      <c r="L17" s="150"/>
      <c r="M17" s="150"/>
      <c r="N17" s="69"/>
      <c r="O17" s="69"/>
      <c r="P17" s="69"/>
      <c r="Q17" s="69"/>
      <c r="R17" s="200"/>
      <c r="S17" s="200"/>
      <c r="T17" s="199" t="str">
        <f t="shared" si="4"/>
        <v/>
      </c>
      <c r="U17" s="200"/>
      <c r="V17" s="200"/>
      <c r="W17" s="82">
        <v>0</v>
      </c>
      <c r="X17" s="82">
        <f t="shared" si="5"/>
        <v>0</v>
      </c>
      <c r="Y17" s="193" t="e">
        <f t="shared" si="6"/>
        <v>#N/A</v>
      </c>
      <c r="AH17" s="20"/>
      <c r="AI17" s="80"/>
    </row>
    <row r="18" spans="1:35" s="75" customFormat="1" ht="30" customHeight="1" x14ac:dyDescent="0.25">
      <c r="A18" s="67">
        <v>11</v>
      </c>
      <c r="B18" s="146" t="str">
        <f t="shared" si="0"/>
        <v>A.4</v>
      </c>
      <c r="C18" s="69">
        <f t="shared" si="1"/>
        <v>2</v>
      </c>
      <c r="D18" s="20"/>
      <c r="E18" s="181" t="str">
        <f t="shared" si="2"/>
        <v>Step 4</v>
      </c>
      <c r="F18" s="184" t="str">
        <f t="shared" si="3"/>
        <v>Identify target environments</v>
      </c>
      <c r="G18" s="184"/>
      <c r="H18" s="184"/>
      <c r="I18" s="184"/>
      <c r="J18" s="184"/>
      <c r="K18" s="184"/>
      <c r="L18" s="184"/>
      <c r="M18" s="184"/>
      <c r="N18" s="184"/>
      <c r="O18" s="184"/>
      <c r="P18" s="184"/>
      <c r="Q18" s="184"/>
      <c r="R18" s="197"/>
      <c r="S18" s="198"/>
      <c r="T18" s="199" t="str">
        <f t="shared" si="4"/>
        <v>Step 4</v>
      </c>
      <c r="U18" s="198"/>
      <c r="V18" s="198"/>
      <c r="W18" s="82">
        <v>0</v>
      </c>
      <c r="X18" s="82">
        <f t="shared" si="5"/>
        <v>0</v>
      </c>
      <c r="Y18" s="193" t="e">
        <f t="shared" si="6"/>
        <v>#N/A</v>
      </c>
      <c r="AH18" s="74"/>
      <c r="AI18" s="80"/>
    </row>
    <row r="19" spans="1:35" s="75" customFormat="1" ht="45" x14ac:dyDescent="0.25">
      <c r="A19" s="67">
        <v>12</v>
      </c>
      <c r="B19" s="146" t="str">
        <f t="shared" si="0"/>
        <v>A.4.01</v>
      </c>
      <c r="C19" s="69">
        <f t="shared" si="1"/>
        <v>5</v>
      </c>
      <c r="D19" s="20"/>
      <c r="E19" s="70" t="str">
        <f t="shared" si="2"/>
        <v>A.4.01</v>
      </c>
      <c r="F19" s="71" t="str">
        <f t="shared" si="3"/>
        <v>Have you identified target environments that need to be subject to penetration testing, such as critical web applications and important IT infrastructure?</v>
      </c>
      <c r="G19" s="149"/>
      <c r="H19" s="150"/>
      <c r="I19" s="150"/>
      <c r="J19" s="150"/>
      <c r="K19" s="150"/>
      <c r="L19" s="150"/>
      <c r="M19" s="150"/>
      <c r="N19" s="69"/>
      <c r="O19" s="69"/>
      <c r="P19" s="69"/>
      <c r="Q19" s="69"/>
      <c r="R19" s="200"/>
      <c r="S19" s="200"/>
      <c r="T19" s="199" t="str">
        <f t="shared" si="4"/>
        <v>A.4.01</v>
      </c>
      <c r="U19" s="200"/>
      <c r="V19" s="200"/>
      <c r="W19" s="82">
        <v>1</v>
      </c>
      <c r="X19" s="82">
        <f t="shared" si="5"/>
        <v>1</v>
      </c>
      <c r="Y19" s="193" t="str">
        <f t="shared" si="6"/>
        <v>x 1</v>
      </c>
      <c r="AH19" s="74"/>
      <c r="AI19" s="80"/>
    </row>
    <row r="20" spans="1:35" s="75" customFormat="1" ht="75" x14ac:dyDescent="0.25">
      <c r="A20" s="67">
        <v>13</v>
      </c>
      <c r="B20" s="146" t="str">
        <f t="shared" si="0"/>
        <v/>
      </c>
      <c r="C20" s="69">
        <f t="shared" si="1"/>
        <v>3</v>
      </c>
      <c r="D20" s="20"/>
      <c r="E20" s="70" t="str">
        <f t="shared" si="2"/>
        <v/>
      </c>
      <c r="F20" s="147" t="str">
        <f t="shared" si="3"/>
        <v>Identification of target environments that need to be subject to penetration testing should take account of a wide range of factors including compliance requirements, system criticality and significant changes to critical business processes, as well as being built into relevant stages of systems under development.</v>
      </c>
      <c r="G20" s="149"/>
      <c r="H20" s="150"/>
      <c r="I20" s="150"/>
      <c r="J20" s="150"/>
      <c r="K20" s="150"/>
      <c r="L20" s="150"/>
      <c r="M20" s="150"/>
      <c r="N20" s="69"/>
      <c r="O20" s="69"/>
      <c r="P20" s="69"/>
      <c r="Q20" s="69"/>
      <c r="R20" s="200"/>
      <c r="S20" s="200"/>
      <c r="T20" s="199" t="str">
        <f t="shared" si="4"/>
        <v/>
      </c>
      <c r="U20" s="200"/>
      <c r="V20" s="200"/>
      <c r="W20" s="82">
        <v>0</v>
      </c>
      <c r="X20" s="82">
        <f t="shared" si="5"/>
        <v>0</v>
      </c>
      <c r="Y20" s="193" t="e">
        <f t="shared" si="6"/>
        <v>#N/A</v>
      </c>
      <c r="AH20" s="20"/>
      <c r="AI20" s="80"/>
    </row>
    <row r="21" spans="1:35" s="75" customFormat="1" ht="30" customHeight="1" x14ac:dyDescent="0.25">
      <c r="A21" s="67">
        <v>14</v>
      </c>
      <c r="B21" s="146" t="str">
        <f t="shared" si="0"/>
        <v>A.5</v>
      </c>
      <c r="C21" s="69">
        <f t="shared" si="1"/>
        <v>2</v>
      </c>
      <c r="D21" s="20"/>
      <c r="E21" s="181" t="str">
        <f t="shared" si="2"/>
        <v>Step 5</v>
      </c>
      <c r="F21" s="184" t="str">
        <f t="shared" si="3"/>
        <v>Define the purpose of the penetration tests</v>
      </c>
      <c r="G21" s="184"/>
      <c r="H21" s="184"/>
      <c r="I21" s="184"/>
      <c r="J21" s="184"/>
      <c r="K21" s="184"/>
      <c r="L21" s="184"/>
      <c r="M21" s="184"/>
      <c r="N21" s="184"/>
      <c r="O21" s="184"/>
      <c r="P21" s="184"/>
      <c r="Q21" s="184"/>
      <c r="R21" s="197"/>
      <c r="S21" s="198"/>
      <c r="T21" s="199" t="str">
        <f t="shared" si="4"/>
        <v>Step 5</v>
      </c>
      <c r="U21" s="198"/>
      <c r="V21" s="198"/>
      <c r="W21" s="82">
        <v>0</v>
      </c>
      <c r="X21" s="82">
        <f t="shared" si="5"/>
        <v>0</v>
      </c>
      <c r="Y21" s="193" t="e">
        <f t="shared" si="6"/>
        <v>#N/A</v>
      </c>
      <c r="AH21" s="74"/>
      <c r="AI21" s="80"/>
    </row>
    <row r="22" spans="1:35" s="75" customFormat="1" ht="30" x14ac:dyDescent="0.25">
      <c r="A22" s="67">
        <v>15</v>
      </c>
      <c r="B22" s="146" t="str">
        <f t="shared" si="0"/>
        <v>A.5.01</v>
      </c>
      <c r="C22" s="69">
        <f t="shared" si="1"/>
        <v>5</v>
      </c>
      <c r="D22" s="20"/>
      <c r="E22" s="70" t="str">
        <f t="shared" si="2"/>
        <v>A.5.01</v>
      </c>
      <c r="F22" s="71" t="str">
        <f t="shared" si="3"/>
        <v>Do you define the purpose of penetration tests, evaluating the potential benefits to your organisation?</v>
      </c>
      <c r="G22" s="149"/>
      <c r="H22" s="150"/>
      <c r="I22" s="150"/>
      <c r="J22" s="150"/>
      <c r="K22" s="150"/>
      <c r="L22" s="150"/>
      <c r="M22" s="150"/>
      <c r="N22" s="69"/>
      <c r="O22" s="69"/>
      <c r="P22" s="69"/>
      <c r="Q22" s="69"/>
      <c r="R22" s="200"/>
      <c r="S22" s="200"/>
      <c r="T22" s="199" t="str">
        <f t="shared" si="4"/>
        <v>A.5.01</v>
      </c>
      <c r="U22" s="200"/>
      <c r="V22" s="200"/>
      <c r="W22" s="82">
        <v>1</v>
      </c>
      <c r="X22" s="82">
        <f t="shared" si="5"/>
        <v>1</v>
      </c>
      <c r="Y22" s="193" t="str">
        <f t="shared" si="6"/>
        <v>x 1</v>
      </c>
      <c r="AH22" s="74"/>
      <c r="AI22" s="80"/>
    </row>
    <row r="23" spans="1:35" s="75" customFormat="1" ht="120" x14ac:dyDescent="0.25">
      <c r="A23" s="67">
        <v>16</v>
      </c>
      <c r="B23" s="146" t="str">
        <f t="shared" si="0"/>
        <v/>
      </c>
      <c r="C23" s="69">
        <f t="shared" si="1"/>
        <v>3</v>
      </c>
      <c r="D23" s="20"/>
      <c r="E23" s="70" t="str">
        <f t="shared" si="2"/>
        <v/>
      </c>
      <c r="F23" s="147" t="str">
        <f t="shared" si="3"/>
        <v>Identifying the purpose of penetration tests should include assessing whether these tests can help your organisation to meet requirements (e.g. identify weaknesses in your security controls; reduce the frequency and impact of security incidents; comply with legal and regulatory requirements); and realise potential benefits (e.g. IT cost reductions; technical and business improvements; greater awareness of security risks and controls) – whilst taking account of any testing limitations or difficulties.</v>
      </c>
      <c r="G23" s="149"/>
      <c r="H23" s="150"/>
      <c r="I23" s="150"/>
      <c r="J23" s="150"/>
      <c r="K23" s="150"/>
      <c r="L23" s="150"/>
      <c r="M23" s="150"/>
      <c r="N23" s="69"/>
      <c r="O23" s="69"/>
      <c r="P23" s="69"/>
      <c r="Q23" s="69"/>
      <c r="R23" s="200"/>
      <c r="S23" s="200"/>
      <c r="T23" s="199" t="str">
        <f t="shared" si="4"/>
        <v/>
      </c>
      <c r="U23" s="200"/>
      <c r="V23" s="200"/>
      <c r="W23" s="82">
        <v>0</v>
      </c>
      <c r="X23" s="82">
        <f t="shared" si="5"/>
        <v>0</v>
      </c>
      <c r="Y23" s="193" t="e">
        <f t="shared" si="6"/>
        <v>#N/A</v>
      </c>
      <c r="AH23" s="20"/>
      <c r="AI23" s="80"/>
    </row>
    <row r="24" spans="1:35" s="75" customFormat="1" ht="30" customHeight="1" x14ac:dyDescent="0.25">
      <c r="A24" s="67">
        <v>17</v>
      </c>
      <c r="B24" s="146" t="str">
        <f t="shared" si="0"/>
        <v>A.6</v>
      </c>
      <c r="C24" s="69">
        <f t="shared" si="1"/>
        <v>2</v>
      </c>
      <c r="D24" s="20"/>
      <c r="E24" s="181" t="str">
        <f t="shared" si="2"/>
        <v>Step 6</v>
      </c>
      <c r="F24" s="184" t="str">
        <f t="shared" si="3"/>
        <v>Produce requirements specifications</v>
      </c>
      <c r="G24" s="184"/>
      <c r="H24" s="184"/>
      <c r="I24" s="184"/>
      <c r="J24" s="184"/>
      <c r="K24" s="184"/>
      <c r="L24" s="184"/>
      <c r="M24" s="184"/>
      <c r="N24" s="184"/>
      <c r="O24" s="184"/>
      <c r="P24" s="184"/>
      <c r="Q24" s="184"/>
      <c r="R24" s="197"/>
      <c r="S24" s="198"/>
      <c r="T24" s="199" t="str">
        <f t="shared" si="4"/>
        <v>Step 6</v>
      </c>
      <c r="U24" s="198"/>
      <c r="V24" s="198"/>
      <c r="W24" s="82">
        <v>0</v>
      </c>
      <c r="X24" s="82">
        <f t="shared" si="5"/>
        <v>0</v>
      </c>
      <c r="Y24" s="193" t="e">
        <f t="shared" si="6"/>
        <v>#N/A</v>
      </c>
      <c r="AH24" s="74"/>
      <c r="AI24" s="80"/>
    </row>
    <row r="25" spans="1:35" s="75" customFormat="1" ht="30" x14ac:dyDescent="0.25">
      <c r="A25" s="67">
        <v>18</v>
      </c>
      <c r="B25" s="146" t="str">
        <f t="shared" si="0"/>
        <v>A.6.01</v>
      </c>
      <c r="C25" s="69">
        <f t="shared" si="1"/>
        <v>5</v>
      </c>
      <c r="D25" s="20"/>
      <c r="E25" s="70" t="str">
        <f t="shared" si="2"/>
        <v>A.6.01</v>
      </c>
      <c r="F25" s="71" t="str">
        <f t="shared" si="3"/>
        <v>Do you define formal requirements for penetration testing carried out in your organisation?</v>
      </c>
      <c r="G25" s="149"/>
      <c r="H25" s="150"/>
      <c r="I25" s="150"/>
      <c r="J25" s="150"/>
      <c r="K25" s="150"/>
      <c r="L25" s="150"/>
      <c r="M25" s="150"/>
      <c r="N25" s="69"/>
      <c r="O25" s="69"/>
      <c r="P25" s="69"/>
      <c r="Q25" s="69"/>
      <c r="R25" s="200"/>
      <c r="S25" s="200"/>
      <c r="T25" s="199" t="str">
        <f t="shared" si="4"/>
        <v>A.6.01</v>
      </c>
      <c r="U25" s="200"/>
      <c r="V25" s="200"/>
      <c r="W25" s="82">
        <v>1</v>
      </c>
      <c r="X25" s="82">
        <f t="shared" si="5"/>
        <v>1</v>
      </c>
      <c r="Y25" s="193" t="str">
        <f t="shared" si="6"/>
        <v>x 1</v>
      </c>
      <c r="AH25" s="74"/>
      <c r="AI25" s="80"/>
    </row>
    <row r="26" spans="1:35" s="75" customFormat="1" ht="75" x14ac:dyDescent="0.25">
      <c r="A26" s="67">
        <v>19</v>
      </c>
      <c r="B26" s="146" t="str">
        <f t="shared" si="0"/>
        <v/>
      </c>
      <c r="C26" s="69">
        <f t="shared" si="1"/>
        <v>3</v>
      </c>
      <c r="D26" s="20"/>
      <c r="E26" s="70" t="str">
        <f t="shared" si="2"/>
        <v/>
      </c>
      <c r="F26" s="147" t="str">
        <f t="shared" si="3"/>
        <v>Requirements for penetration testing should include consideration of important business applications, key IT infrastructure and confidential data; validation that tests are legal and will not compromise confidential data; and the need for tests to be recorded, reviewed and signed-off.</v>
      </c>
      <c r="G26" s="149"/>
      <c r="H26" s="150"/>
      <c r="I26" s="150"/>
      <c r="J26" s="150"/>
      <c r="K26" s="150"/>
      <c r="L26" s="150"/>
      <c r="M26" s="150"/>
      <c r="N26" s="69"/>
      <c r="O26" s="69"/>
      <c r="P26" s="69"/>
      <c r="Q26" s="69"/>
      <c r="R26" s="200"/>
      <c r="S26" s="200"/>
      <c r="T26" s="199" t="str">
        <f t="shared" si="4"/>
        <v/>
      </c>
      <c r="U26" s="200"/>
      <c r="V26" s="200"/>
      <c r="W26" s="82">
        <v>0</v>
      </c>
      <c r="X26" s="82">
        <f t="shared" si="5"/>
        <v>0</v>
      </c>
      <c r="Y26" s="193" t="e">
        <f t="shared" si="6"/>
        <v>#N/A</v>
      </c>
      <c r="AH26" s="20"/>
      <c r="AI26" s="80"/>
    </row>
    <row r="27" spans="1:35" s="75" customFormat="1" ht="30" customHeight="1" x14ac:dyDescent="0.25">
      <c r="A27" s="67">
        <v>20</v>
      </c>
      <c r="B27" s="146" t="str">
        <f t="shared" si="0"/>
        <v>A.7</v>
      </c>
      <c r="C27" s="69">
        <f t="shared" si="1"/>
        <v>2</v>
      </c>
      <c r="D27" s="20"/>
      <c r="E27" s="181" t="str">
        <f t="shared" si="2"/>
        <v>Step 7</v>
      </c>
      <c r="F27" s="184" t="str">
        <f t="shared" si="3"/>
        <v>Select suitable suppliers</v>
      </c>
      <c r="G27" s="184"/>
      <c r="H27" s="184"/>
      <c r="I27" s="184"/>
      <c r="J27" s="184"/>
      <c r="K27" s="184"/>
      <c r="L27" s="184"/>
      <c r="M27" s="184"/>
      <c r="N27" s="184"/>
      <c r="O27" s="184"/>
      <c r="P27" s="184"/>
      <c r="Q27" s="184"/>
      <c r="R27" s="197"/>
      <c r="S27" s="198"/>
      <c r="T27" s="199" t="str">
        <f t="shared" si="4"/>
        <v>Step 7</v>
      </c>
      <c r="U27" s="198"/>
      <c r="V27" s="198"/>
      <c r="W27" s="82">
        <v>0</v>
      </c>
      <c r="X27" s="82">
        <f t="shared" si="5"/>
        <v>0</v>
      </c>
      <c r="Y27" s="193" t="e">
        <f t="shared" si="6"/>
        <v>#N/A</v>
      </c>
      <c r="AH27" s="74"/>
      <c r="AI27" s="80"/>
    </row>
    <row r="28" spans="1:35" s="75" customFormat="1" ht="60" x14ac:dyDescent="0.25">
      <c r="A28" s="67">
        <v>21</v>
      </c>
      <c r="B28" s="146" t="str">
        <f t="shared" si="0"/>
        <v>A.7.01</v>
      </c>
      <c r="C28" s="69">
        <f t="shared" si="1"/>
        <v>5</v>
      </c>
      <c r="D28" s="20"/>
      <c r="E28" s="70" t="str">
        <f t="shared" si="2"/>
        <v>A.7.01</v>
      </c>
      <c r="F28" s="71" t="str">
        <f t="shared" si="3"/>
        <v>Do you appoint suitable third party suppliers to undertake independent penetration testing (based on defined requirements, benefit evaluation, specified supplier selection criteria and validation of the supplier’s ability to meet your specific requirements)?</v>
      </c>
      <c r="G28" s="149"/>
      <c r="H28" s="150"/>
      <c r="I28" s="150"/>
      <c r="J28" s="150"/>
      <c r="K28" s="150"/>
      <c r="L28" s="150"/>
      <c r="M28" s="150"/>
      <c r="N28" s="69"/>
      <c r="O28" s="69"/>
      <c r="P28" s="69"/>
      <c r="Q28" s="69"/>
      <c r="R28" s="200"/>
      <c r="S28" s="200"/>
      <c r="T28" s="199" t="str">
        <f t="shared" si="4"/>
        <v>A.7.01</v>
      </c>
      <c r="U28" s="200"/>
      <c r="V28" s="200"/>
      <c r="W28" s="82">
        <v>1</v>
      </c>
      <c r="X28" s="82">
        <f t="shared" si="5"/>
        <v>1</v>
      </c>
      <c r="Y28" s="193" t="str">
        <f t="shared" si="6"/>
        <v>x 1</v>
      </c>
      <c r="AH28" s="74"/>
      <c r="AI28" s="80"/>
    </row>
    <row r="29" spans="1:35" s="75" customFormat="1" ht="105" x14ac:dyDescent="0.25">
      <c r="A29" s="67">
        <v>22</v>
      </c>
      <c r="B29" s="146" t="str">
        <f t="shared" si="0"/>
        <v/>
      </c>
      <c r="C29" s="69">
        <f t="shared" si="1"/>
        <v>3</v>
      </c>
      <c r="D29" s="20"/>
      <c r="E29" s="70" t="str">
        <f t="shared" si="2"/>
        <v/>
      </c>
      <c r="F29" s="147" t="str">
        <f t="shared" si="3"/>
        <v>Effective supplier selection criteria should be used to determine if potential suppliers can satisfactorily meet your specific testing requirements, based on their ability to provide: solid reputation, history and ethics; high quality, value-for-money services; research and development capability; highly competent, technical testers; and security and risk management, supported by a strong professional accreditation and complaint process.</v>
      </c>
      <c r="G29" s="149"/>
      <c r="H29" s="150"/>
      <c r="I29" s="150"/>
      <c r="J29" s="150"/>
      <c r="K29" s="150"/>
      <c r="L29" s="150"/>
      <c r="M29" s="150"/>
      <c r="N29" s="69"/>
      <c r="O29" s="69"/>
      <c r="P29" s="69"/>
      <c r="Q29" s="69"/>
      <c r="R29" s="200"/>
      <c r="S29" s="200"/>
      <c r="T29" s="199" t="str">
        <f t="shared" si="4"/>
        <v/>
      </c>
      <c r="U29" s="200"/>
      <c r="V29" s="200"/>
      <c r="W29" s="82">
        <v>0</v>
      </c>
      <c r="X29" s="82">
        <f t="shared" si="5"/>
        <v>0</v>
      </c>
      <c r="Y29" s="193" t="e">
        <f t="shared" si="6"/>
        <v>#N/A</v>
      </c>
      <c r="AH29" s="20"/>
      <c r="AI29" s="80"/>
    </row>
    <row r="30" spans="1:35" s="75" customFormat="1" ht="35.1" customHeight="1" x14ac:dyDescent="0.25">
      <c r="A30" s="67">
        <v>23</v>
      </c>
      <c r="B30" s="146" t="str">
        <f t="shared" si="0"/>
        <v>B</v>
      </c>
      <c r="C30" s="69">
        <f t="shared" si="1"/>
        <v>1</v>
      </c>
      <c r="D30" s="20"/>
      <c r="E30" s="182" t="str">
        <f t="shared" si="2"/>
        <v>Stage B</v>
      </c>
      <c r="F30" s="185" t="str">
        <f t="shared" si="3"/>
        <v>Testing</v>
      </c>
      <c r="G30" s="187"/>
      <c r="H30" s="189"/>
      <c r="I30" s="189"/>
      <c r="J30" s="189"/>
      <c r="K30" s="189"/>
      <c r="L30" s="189"/>
      <c r="M30" s="187"/>
      <c r="N30" s="187"/>
      <c r="O30" s="187"/>
      <c r="P30" s="187"/>
      <c r="Q30" s="187"/>
      <c r="R30" s="201"/>
      <c r="S30" s="201"/>
      <c r="T30" s="199" t="str">
        <f t="shared" si="4"/>
        <v>Stage B</v>
      </c>
      <c r="U30" s="201"/>
      <c r="V30" s="201"/>
      <c r="W30" s="82">
        <v>0</v>
      </c>
      <c r="X30" s="82">
        <f t="shared" si="5"/>
        <v>0</v>
      </c>
      <c r="Y30" s="193" t="e">
        <f t="shared" si="6"/>
        <v>#N/A</v>
      </c>
      <c r="AH30" s="74"/>
      <c r="AI30" s="80"/>
    </row>
    <row r="31" spans="1:35" s="75" customFormat="1" ht="30" customHeight="1" x14ac:dyDescent="0.25">
      <c r="A31" s="67">
        <v>24</v>
      </c>
      <c r="B31" s="146" t="str">
        <f t="shared" si="0"/>
        <v>B.1</v>
      </c>
      <c r="C31" s="69">
        <f t="shared" si="1"/>
        <v>2</v>
      </c>
      <c r="D31" s="20"/>
      <c r="E31" s="181" t="str">
        <f t="shared" si="2"/>
        <v>Step 1</v>
      </c>
      <c r="F31" s="184" t="str">
        <f t="shared" si="3"/>
        <v>Agree testing style and type</v>
      </c>
      <c r="G31" s="184"/>
      <c r="H31" s="184"/>
      <c r="I31" s="184"/>
      <c r="J31" s="184"/>
      <c r="K31" s="184"/>
      <c r="L31" s="184"/>
      <c r="M31" s="184"/>
      <c r="N31" s="184"/>
      <c r="O31" s="184"/>
      <c r="P31" s="184"/>
      <c r="Q31" s="184"/>
      <c r="R31" s="197"/>
      <c r="S31" s="198"/>
      <c r="T31" s="199" t="str">
        <f t="shared" si="4"/>
        <v>Step 1</v>
      </c>
      <c r="U31" s="198"/>
      <c r="V31" s="198"/>
      <c r="W31" s="82">
        <v>0</v>
      </c>
      <c r="X31" s="82">
        <f t="shared" si="5"/>
        <v>0</v>
      </c>
      <c r="Y31" s="193" t="e">
        <f t="shared" si="6"/>
        <v>#N/A</v>
      </c>
      <c r="AH31" s="74"/>
      <c r="AI31" s="80"/>
    </row>
    <row r="32" spans="1:35" s="75" customFormat="1" ht="45" x14ac:dyDescent="0.25">
      <c r="A32" s="67">
        <v>25</v>
      </c>
      <c r="B32" s="146" t="str">
        <f t="shared" si="0"/>
        <v>B.1.01</v>
      </c>
      <c r="C32" s="69">
        <f t="shared" si="1"/>
        <v>5</v>
      </c>
      <c r="D32" s="20"/>
      <c r="E32" s="70" t="str">
        <f t="shared" si="2"/>
        <v>B.1.01</v>
      </c>
      <c r="F32" s="71" t="str">
        <f t="shared" si="3"/>
        <v>Do you determine what style of penetration testing is required (e.g. black, grey or white box testing; internal or external testing) and what type of testing is to be performed?</v>
      </c>
      <c r="G32" s="149"/>
      <c r="H32" s="150"/>
      <c r="I32" s="150"/>
      <c r="J32" s="150"/>
      <c r="K32" s="150"/>
      <c r="L32" s="150"/>
      <c r="M32" s="150"/>
      <c r="N32" s="69"/>
      <c r="O32" s="69"/>
      <c r="P32" s="69"/>
      <c r="Q32" s="69"/>
      <c r="R32" s="200"/>
      <c r="S32" s="200"/>
      <c r="T32" s="199" t="str">
        <f t="shared" si="4"/>
        <v>B.1.01</v>
      </c>
      <c r="U32" s="200"/>
      <c r="V32" s="200"/>
      <c r="W32" s="82">
        <v>1</v>
      </c>
      <c r="X32" s="82">
        <f t="shared" si="5"/>
        <v>1</v>
      </c>
      <c r="Y32" s="193" t="str">
        <f t="shared" si="6"/>
        <v>x 1</v>
      </c>
      <c r="AH32" s="74"/>
      <c r="AI32" s="80"/>
    </row>
    <row r="33" spans="1:35" s="75" customFormat="1" ht="150" x14ac:dyDescent="0.25">
      <c r="A33" s="67">
        <v>26</v>
      </c>
      <c r="B33" s="146" t="str">
        <f t="shared" si="0"/>
        <v/>
      </c>
      <c r="C33" s="20">
        <f t="shared" si="1"/>
        <v>3</v>
      </c>
      <c r="D33" s="20"/>
      <c r="E33" s="70" t="str">
        <f t="shared" si="2"/>
        <v/>
      </c>
      <c r="F33" s="147" t="str">
        <f t="shared" si="3"/>
        <v>When determining the style of penetration testing to be part of the scope, you should: evaluate the need for black, grey or white box testing; consider the use of an ‘external’ penetration test, aimed at IT systems from ‘outside the building’ and / or an internal security test, end-to-end testing (i.e. for people, through data, devices, applications and infrastructure), emerging technologies (e.g. mobile applications); and social engineering. The type of testing to consider as part of the scope should include web application, IT infrastructure and specialised penetration testing, as well as whether or not testing should be performed in live and / or test environments.</v>
      </c>
      <c r="G33" s="149"/>
      <c r="H33" s="150"/>
      <c r="I33" s="150"/>
      <c r="J33" s="150"/>
      <c r="K33" s="150"/>
      <c r="L33" s="150"/>
      <c r="M33" s="150"/>
      <c r="N33" s="69"/>
      <c r="O33" s="69"/>
      <c r="P33" s="69"/>
      <c r="Q33" s="69"/>
      <c r="R33" s="200"/>
      <c r="S33" s="200"/>
      <c r="T33" s="199" t="str">
        <f t="shared" si="4"/>
        <v/>
      </c>
      <c r="U33" s="200"/>
      <c r="V33" s="200"/>
      <c r="W33" s="82">
        <v>0</v>
      </c>
      <c r="X33" s="82">
        <f t="shared" si="5"/>
        <v>0</v>
      </c>
      <c r="Y33" s="193" t="e">
        <f t="shared" si="6"/>
        <v>#N/A</v>
      </c>
      <c r="AH33" s="69"/>
      <c r="AI33" s="80"/>
    </row>
    <row r="34" spans="1:35" s="75" customFormat="1" ht="30" customHeight="1" x14ac:dyDescent="0.25">
      <c r="A34" s="67">
        <v>27</v>
      </c>
      <c r="B34" s="146" t="str">
        <f t="shared" si="0"/>
        <v>B.2</v>
      </c>
      <c r="C34" s="20">
        <f t="shared" si="1"/>
        <v>2</v>
      </c>
      <c r="D34" s="20"/>
      <c r="E34" s="181" t="str">
        <f t="shared" si="2"/>
        <v>Step 2</v>
      </c>
      <c r="F34" s="184" t="str">
        <f t="shared" si="3"/>
        <v>Identify testing constraints</v>
      </c>
      <c r="G34" s="184"/>
      <c r="H34" s="184"/>
      <c r="I34" s="184"/>
      <c r="J34" s="184"/>
      <c r="K34" s="184"/>
      <c r="L34" s="184"/>
      <c r="M34" s="184"/>
      <c r="N34" s="184"/>
      <c r="O34" s="184"/>
      <c r="P34" s="184"/>
      <c r="Q34" s="184"/>
      <c r="R34" s="197"/>
      <c r="S34" s="198"/>
      <c r="T34" s="199" t="str">
        <f t="shared" si="4"/>
        <v>Step 2</v>
      </c>
      <c r="U34" s="198"/>
      <c r="V34" s="198"/>
      <c r="W34" s="82">
        <v>0</v>
      </c>
      <c r="X34" s="82">
        <f t="shared" si="5"/>
        <v>0</v>
      </c>
      <c r="Y34" s="193" t="e">
        <f t="shared" si="6"/>
        <v>#N/A</v>
      </c>
      <c r="AI34" s="80"/>
    </row>
    <row r="35" spans="1:35" s="75" customFormat="1" ht="30" x14ac:dyDescent="0.25">
      <c r="A35" s="67">
        <v>28</v>
      </c>
      <c r="B35" s="146" t="str">
        <f t="shared" si="0"/>
        <v>B.2.01</v>
      </c>
      <c r="C35" s="20">
        <f t="shared" si="1"/>
        <v>5</v>
      </c>
      <c r="D35" s="20"/>
      <c r="E35" s="70" t="str">
        <f t="shared" si="2"/>
        <v>B.2.01</v>
      </c>
      <c r="F35" s="71" t="str">
        <f t="shared" si="3"/>
        <v>Do you identify any testing constraints associated with planned penetration testing?</v>
      </c>
      <c r="G35" s="149"/>
      <c r="H35" s="150"/>
      <c r="I35" s="150"/>
      <c r="J35" s="150"/>
      <c r="K35" s="150"/>
      <c r="L35" s="150"/>
      <c r="M35" s="150"/>
      <c r="N35" s="69"/>
      <c r="O35" s="69"/>
      <c r="P35" s="69"/>
      <c r="Q35" s="69"/>
      <c r="R35" s="200"/>
      <c r="S35" s="200"/>
      <c r="T35" s="199" t="str">
        <f t="shared" si="4"/>
        <v>B.2.01</v>
      </c>
      <c r="U35" s="200"/>
      <c r="V35" s="200"/>
      <c r="W35" s="82">
        <v>1</v>
      </c>
      <c r="X35" s="82">
        <f t="shared" si="5"/>
        <v>1</v>
      </c>
      <c r="Y35" s="193" t="str">
        <f t="shared" si="6"/>
        <v>x 1</v>
      </c>
      <c r="AI35" s="80"/>
    </row>
    <row r="36" spans="1:35" s="75" customFormat="1" ht="60" x14ac:dyDescent="0.25">
      <c r="A36" s="67">
        <v>29</v>
      </c>
      <c r="B36" s="146" t="str">
        <f t="shared" si="0"/>
        <v/>
      </c>
      <c r="C36" s="20">
        <f t="shared" si="1"/>
        <v>3</v>
      </c>
      <c r="D36" s="20"/>
      <c r="E36" s="70" t="str">
        <f t="shared" si="2"/>
        <v/>
      </c>
      <c r="F36" s="147" t="str">
        <f t="shared" si="3"/>
        <v>Testing constraints can include: aspects of the business that cannot be tested due to operational and technical limitations; legal, resourcing or time restrictions; and the likelihood that most penetration testing will not find all vulnerabilities of a given environment.</v>
      </c>
      <c r="G36" s="149"/>
      <c r="H36" s="150"/>
      <c r="I36" s="150"/>
      <c r="J36" s="150"/>
      <c r="K36" s="150"/>
      <c r="L36" s="150"/>
      <c r="M36" s="150"/>
      <c r="N36" s="69"/>
      <c r="O36" s="69"/>
      <c r="P36" s="69"/>
      <c r="Q36" s="69"/>
      <c r="R36" s="200"/>
      <c r="S36" s="200"/>
      <c r="T36" s="199" t="str">
        <f t="shared" si="4"/>
        <v/>
      </c>
      <c r="U36" s="200"/>
      <c r="V36" s="200"/>
      <c r="W36" s="82">
        <v>0</v>
      </c>
      <c r="X36" s="82">
        <f t="shared" si="5"/>
        <v>0</v>
      </c>
      <c r="Y36" s="193" t="e">
        <f t="shared" si="6"/>
        <v>#N/A</v>
      </c>
      <c r="AH36" s="69"/>
      <c r="AI36" s="80"/>
    </row>
    <row r="37" spans="1:35" s="75" customFormat="1" ht="30" customHeight="1" x14ac:dyDescent="0.25">
      <c r="A37" s="67">
        <v>30</v>
      </c>
      <c r="B37" s="146" t="str">
        <f t="shared" si="0"/>
        <v>B.3</v>
      </c>
      <c r="C37" s="20">
        <f t="shared" si="1"/>
        <v>2</v>
      </c>
      <c r="D37" s="20"/>
      <c r="E37" s="181" t="str">
        <f t="shared" si="2"/>
        <v>Step 3</v>
      </c>
      <c r="F37" s="184" t="str">
        <f t="shared" si="3"/>
        <v>Produce scope statements</v>
      </c>
      <c r="G37" s="184"/>
      <c r="H37" s="184"/>
      <c r="I37" s="184"/>
      <c r="J37" s="184"/>
      <c r="K37" s="184"/>
      <c r="L37" s="184"/>
      <c r="M37" s="184"/>
      <c r="N37" s="184"/>
      <c r="O37" s="184"/>
      <c r="P37" s="184"/>
      <c r="Q37" s="184"/>
      <c r="R37" s="197"/>
      <c r="S37" s="198"/>
      <c r="T37" s="199" t="str">
        <f t="shared" si="4"/>
        <v>Step 3</v>
      </c>
      <c r="U37" s="198"/>
      <c r="V37" s="198"/>
      <c r="W37" s="82">
        <v>0</v>
      </c>
      <c r="X37" s="82">
        <f t="shared" si="5"/>
        <v>0</v>
      </c>
      <c r="Y37" s="193" t="e">
        <f t="shared" si="6"/>
        <v>#N/A</v>
      </c>
      <c r="AI37" s="80"/>
    </row>
    <row r="38" spans="1:35" s="75" customFormat="1" ht="45" x14ac:dyDescent="0.25">
      <c r="A38" s="67">
        <v>31</v>
      </c>
      <c r="B38" s="146" t="str">
        <f t="shared" si="0"/>
        <v>B.3.01</v>
      </c>
      <c r="C38" s="20">
        <f t="shared" si="1"/>
        <v>5</v>
      </c>
      <c r="D38" s="20"/>
      <c r="E38" s="70" t="str">
        <f t="shared" si="2"/>
        <v>B.3.01</v>
      </c>
      <c r="F38" s="71" t="str">
        <f t="shared" si="3"/>
        <v>Do you produce formal scope statements for penetration testing, supported by defined reporting requirements, prior to tests commencing?</v>
      </c>
      <c r="G38" s="149"/>
      <c r="H38" s="150"/>
      <c r="I38" s="150"/>
      <c r="J38" s="150"/>
      <c r="K38" s="150"/>
      <c r="L38" s="150"/>
      <c r="M38" s="150"/>
      <c r="N38" s="69"/>
      <c r="O38" s="69"/>
      <c r="P38" s="69"/>
      <c r="Q38" s="69"/>
      <c r="R38" s="200"/>
      <c r="S38" s="200"/>
      <c r="T38" s="199" t="str">
        <f t="shared" si="4"/>
        <v>B.3.01</v>
      </c>
      <c r="U38" s="200"/>
      <c r="V38" s="200"/>
      <c r="W38" s="82">
        <v>1</v>
      </c>
      <c r="X38" s="82">
        <f t="shared" si="5"/>
        <v>1</v>
      </c>
      <c r="Y38" s="193" t="str">
        <f t="shared" si="6"/>
        <v>x 1</v>
      </c>
      <c r="AI38" s="80"/>
    </row>
    <row r="39" spans="1:35" s="75" customFormat="1" ht="135" x14ac:dyDescent="0.25">
      <c r="A39" s="67">
        <v>32</v>
      </c>
      <c r="B39" s="146" t="str">
        <f t="shared" si="0"/>
        <v/>
      </c>
      <c r="C39" s="20">
        <f t="shared" si="1"/>
        <v>3</v>
      </c>
      <c r="D39" s="20"/>
      <c r="E39" s="70" t="str">
        <f t="shared" si="2"/>
        <v/>
      </c>
      <c r="F39" s="147" t="str">
        <f t="shared" si="3"/>
        <v>The scope of penetration tests should: be recorded in a formal document, such as a scope statement, that is signed-off by all relevant parties; include a definition of the target environment; specify resourcing requirements; define liabilities; include follow-up activities; and authorise testing to be conducted. Reporting requirements should specify the format and type of content, when the test report will be delivered, how the test report will be delivered (electronic and / or physical); and arrangements should be made to ensure that your service provider will meet your requirements in a satisfactory manner.</v>
      </c>
      <c r="G39" s="149"/>
      <c r="H39" s="150"/>
      <c r="I39" s="150"/>
      <c r="J39" s="150"/>
      <c r="K39" s="150"/>
      <c r="L39" s="150"/>
      <c r="M39" s="150"/>
      <c r="N39" s="69"/>
      <c r="O39" s="69"/>
      <c r="P39" s="69"/>
      <c r="Q39" s="69"/>
      <c r="R39" s="200"/>
      <c r="S39" s="200"/>
      <c r="T39" s="199" t="str">
        <f t="shared" si="4"/>
        <v/>
      </c>
      <c r="U39" s="200"/>
      <c r="V39" s="200"/>
      <c r="W39" s="82">
        <v>0</v>
      </c>
      <c r="X39" s="82">
        <f t="shared" si="5"/>
        <v>0</v>
      </c>
      <c r="Y39" s="193" t="e">
        <f t="shared" si="6"/>
        <v>#N/A</v>
      </c>
      <c r="AH39" s="69"/>
      <c r="AI39" s="80"/>
    </row>
    <row r="40" spans="1:35" s="75" customFormat="1" ht="30" customHeight="1" x14ac:dyDescent="0.25">
      <c r="A40" s="67">
        <v>33</v>
      </c>
      <c r="B40" s="146" t="str">
        <f t="shared" ref="B40:B71" si="7">VLOOKUP(A40,contentrefmockup,2,FALSE)</f>
        <v>B.4</v>
      </c>
      <c r="C40" s="20">
        <f t="shared" ref="C40:C71" si="8">VLOOKUP(A40,contentrefmockup,15,FALSE)</f>
        <v>2</v>
      </c>
      <c r="D40" s="20"/>
      <c r="E40" s="181" t="str">
        <f t="shared" ref="E40:E71" si="9">IF(C40=1,"Stage "&amp;B40,IF(C40=2,"Step "&amp;VLOOKUP(A40,contentrefmockup,4,FALSE),B40))</f>
        <v>Step 4</v>
      </c>
      <c r="F40" s="184" t="str">
        <f t="shared" ref="F40:F71" si="10">VLOOKUP(A40,contentrefmockup,7,FALSE)</f>
        <v>Establish a management assurance framework</v>
      </c>
      <c r="G40" s="184"/>
      <c r="H40" s="184"/>
      <c r="I40" s="184"/>
      <c r="J40" s="184"/>
      <c r="K40" s="184"/>
      <c r="L40" s="184"/>
      <c r="M40" s="184"/>
      <c r="N40" s="184"/>
      <c r="O40" s="184"/>
      <c r="P40" s="184"/>
      <c r="Q40" s="184"/>
      <c r="R40" s="197"/>
      <c r="S40" s="198"/>
      <c r="T40" s="199" t="str">
        <f t="shared" ref="T40:T71" si="11">E40</f>
        <v>Step 4</v>
      </c>
      <c r="U40" s="198"/>
      <c r="V40" s="198"/>
      <c r="W40" s="82">
        <v>0</v>
      </c>
      <c r="X40" s="82">
        <f t="shared" ref="X40:X71" si="12">VLOOKUP(A40,contentrefmockup,8,FALSE)</f>
        <v>0</v>
      </c>
      <c r="Y40" s="193" t="e">
        <f t="shared" ref="Y40:Y71" si="13">VLOOKUP(W40,weighting_response_reverse,2,FALSE)</f>
        <v>#N/A</v>
      </c>
      <c r="AI40" s="80"/>
    </row>
    <row r="41" spans="1:35" s="75" customFormat="1" ht="75" x14ac:dyDescent="0.25">
      <c r="A41" s="67">
        <v>34</v>
      </c>
      <c r="B41" s="146" t="str">
        <f t="shared" si="7"/>
        <v>B.4.01</v>
      </c>
      <c r="C41" s="20">
        <f t="shared" si="8"/>
        <v>5</v>
      </c>
      <c r="D41" s="20"/>
      <c r="E41" s="70" t="str">
        <f t="shared" si="9"/>
        <v>B.4.01</v>
      </c>
      <c r="F41" s="71" t="str">
        <f t="shared" si="10"/>
        <v>Have you created a documented management assurance framework to help govern all aspects of the penetration test, ensuring that testing meets requirements and testing scope is documented in a comprehensive agreement, defined in a legally binding contact and signed off by all relevant parties before testing starts?</v>
      </c>
      <c r="G41" s="149"/>
      <c r="H41" s="150"/>
      <c r="I41" s="150"/>
      <c r="J41" s="150"/>
      <c r="K41" s="150"/>
      <c r="L41" s="150"/>
      <c r="M41" s="150"/>
      <c r="N41" s="69"/>
      <c r="O41" s="69"/>
      <c r="P41" s="69"/>
      <c r="Q41" s="69"/>
      <c r="R41" s="200"/>
      <c r="S41" s="200"/>
      <c r="T41" s="199" t="str">
        <f t="shared" si="11"/>
        <v>B.4.01</v>
      </c>
      <c r="U41" s="200"/>
      <c r="V41" s="200"/>
      <c r="W41" s="82">
        <v>1</v>
      </c>
      <c r="X41" s="82">
        <f t="shared" si="12"/>
        <v>1</v>
      </c>
      <c r="Y41" s="193" t="str">
        <f t="shared" si="13"/>
        <v>x 1</v>
      </c>
      <c r="AI41" s="80"/>
    </row>
    <row r="42" spans="1:35" s="75" customFormat="1" ht="105" x14ac:dyDescent="0.25">
      <c r="A42" s="67">
        <v>35</v>
      </c>
      <c r="B42" s="146" t="str">
        <f t="shared" si="7"/>
        <v/>
      </c>
      <c r="C42" s="20">
        <f t="shared" si="8"/>
        <v>3</v>
      </c>
      <c r="D42" s="20"/>
      <c r="E42" s="70" t="str">
        <f t="shared" si="9"/>
        <v/>
      </c>
      <c r="F42" s="147" t="str">
        <f t="shared" si="10"/>
        <v>The management assurance framework should provide assurance to stakeholders that: the objectives of penetration tests are achieved; contracts with service providers are defined, agreed, signed off and monitored; risks to your organisation (e.g. degradation or loss of services; disclosure of sensitive information) are kept to a minimum; changes to testing scope are managed effectively; and that any problems are resolved satisfactorily.</v>
      </c>
      <c r="G42" s="149"/>
      <c r="H42" s="150"/>
      <c r="I42" s="150"/>
      <c r="J42" s="150"/>
      <c r="K42" s="150"/>
      <c r="L42" s="150"/>
      <c r="M42" s="150"/>
      <c r="N42" s="69"/>
      <c r="O42" s="69"/>
      <c r="P42" s="69"/>
      <c r="Q42" s="69"/>
      <c r="R42" s="200"/>
      <c r="S42" s="200"/>
      <c r="T42" s="199" t="str">
        <f t="shared" si="11"/>
        <v/>
      </c>
      <c r="U42" s="200"/>
      <c r="V42" s="200"/>
      <c r="W42" s="82">
        <v>0</v>
      </c>
      <c r="X42" s="82">
        <f t="shared" si="12"/>
        <v>0</v>
      </c>
      <c r="Y42" s="193" t="e">
        <f t="shared" si="13"/>
        <v>#N/A</v>
      </c>
      <c r="AH42" s="69"/>
      <c r="AI42" s="80"/>
    </row>
    <row r="43" spans="1:35" s="75" customFormat="1" ht="165" x14ac:dyDescent="0.25">
      <c r="A43" s="67">
        <v>36</v>
      </c>
      <c r="B43" s="146" t="str">
        <f t="shared" si="7"/>
        <v/>
      </c>
      <c r="C43" s="20">
        <f t="shared" si="8"/>
        <v>3</v>
      </c>
      <c r="D43" s="20"/>
      <c r="E43" s="70" t="str">
        <f t="shared" si="9"/>
        <v/>
      </c>
      <c r="F43" s="147" t="str">
        <f t="shared" si="10"/>
        <v>Your assurance process should help you to effectively monitor requirements definitions, planning and preparation, as well as performance of the actual testing; and define control processes over all important management aspects of testing. The penetration testing contract should specify explicit exclusions (e.g. systems that are out of scope); any technical and operational constraints; roles and responsibilities for all parties’ concerned; and specific legal / regulatory requirements; together with specific timings and checkpoints; a problem escalation process; post-test corrective action strategy and action plan development; supported by agreed pricing and terms of business.</v>
      </c>
      <c r="G43" s="149"/>
      <c r="H43" s="150"/>
      <c r="I43" s="150"/>
      <c r="J43" s="150"/>
      <c r="K43" s="150"/>
      <c r="L43" s="150"/>
      <c r="M43" s="150"/>
      <c r="N43" s="69"/>
      <c r="O43" s="69"/>
      <c r="P43" s="69"/>
      <c r="Q43" s="69"/>
      <c r="R43" s="200"/>
      <c r="S43" s="200"/>
      <c r="T43" s="199" t="str">
        <f t="shared" si="11"/>
        <v/>
      </c>
      <c r="U43" s="200"/>
      <c r="V43" s="200"/>
      <c r="W43" s="82">
        <v>0</v>
      </c>
      <c r="X43" s="82">
        <f t="shared" si="12"/>
        <v>0</v>
      </c>
      <c r="Y43" s="193" t="e">
        <f t="shared" si="13"/>
        <v>#N/A</v>
      </c>
      <c r="AH43" s="69"/>
      <c r="AI43" s="80"/>
    </row>
    <row r="44" spans="1:35" s="75" customFormat="1" ht="30" customHeight="1" x14ac:dyDescent="0.25">
      <c r="A44" s="67">
        <v>37</v>
      </c>
      <c r="B44" s="146" t="str">
        <f t="shared" si="7"/>
        <v>B.5</v>
      </c>
      <c r="C44" s="20">
        <f t="shared" si="8"/>
        <v>2</v>
      </c>
      <c r="D44" s="20"/>
      <c r="E44" s="181" t="str">
        <f t="shared" si="9"/>
        <v>Step 5</v>
      </c>
      <c r="F44" s="184" t="str">
        <f t="shared" si="10"/>
        <v>Implement management control processes</v>
      </c>
      <c r="G44" s="184"/>
      <c r="H44" s="184"/>
      <c r="I44" s="184"/>
      <c r="J44" s="184"/>
      <c r="K44" s="184"/>
      <c r="L44" s="184"/>
      <c r="M44" s="184"/>
      <c r="N44" s="184"/>
      <c r="O44" s="184"/>
      <c r="P44" s="184"/>
      <c r="Q44" s="184"/>
      <c r="R44" s="197"/>
      <c r="S44" s="198"/>
      <c r="T44" s="199" t="str">
        <f t="shared" si="11"/>
        <v>Step 5</v>
      </c>
      <c r="U44" s="198"/>
      <c r="V44" s="198"/>
      <c r="W44" s="82">
        <v>0</v>
      </c>
      <c r="X44" s="82">
        <f t="shared" si="12"/>
        <v>0</v>
      </c>
      <c r="Y44" s="193" t="e">
        <f t="shared" si="13"/>
        <v>#N/A</v>
      </c>
      <c r="AI44" s="80"/>
    </row>
    <row r="45" spans="1:35" s="75" customFormat="1" ht="30" x14ac:dyDescent="0.25">
      <c r="A45" s="67">
        <v>38</v>
      </c>
      <c r="B45" s="146" t="str">
        <f t="shared" si="7"/>
        <v>B.5.01</v>
      </c>
      <c r="C45" s="20">
        <f t="shared" si="8"/>
        <v>5</v>
      </c>
      <c r="D45" s="20"/>
      <c r="E45" s="70" t="str">
        <f t="shared" si="9"/>
        <v>B.5.01</v>
      </c>
      <c r="F45" s="71" t="str">
        <f t="shared" si="10"/>
        <v>Have you implemented effective risk, change and problem management processes that apply to all aspects of penetration testing?</v>
      </c>
      <c r="G45" s="149"/>
      <c r="H45" s="150"/>
      <c r="I45" s="150"/>
      <c r="J45" s="150"/>
      <c r="K45" s="150"/>
      <c r="L45" s="150"/>
      <c r="M45" s="150"/>
      <c r="N45" s="69"/>
      <c r="O45" s="69"/>
      <c r="P45" s="69"/>
      <c r="Q45" s="69"/>
      <c r="R45" s="200"/>
      <c r="S45" s="200"/>
      <c r="T45" s="199" t="str">
        <f t="shared" si="11"/>
        <v>B.5.01</v>
      </c>
      <c r="U45" s="200"/>
      <c r="V45" s="200"/>
      <c r="W45" s="82">
        <v>1</v>
      </c>
      <c r="X45" s="82">
        <f t="shared" si="12"/>
        <v>1</v>
      </c>
      <c r="Y45" s="193" t="str">
        <f t="shared" si="13"/>
        <v>x 1</v>
      </c>
      <c r="AI45" s="80"/>
    </row>
    <row r="46" spans="1:35" s="75" customFormat="1" ht="180" x14ac:dyDescent="0.25">
      <c r="A46" s="67">
        <v>39</v>
      </c>
      <c r="B46" s="146" t="str">
        <f t="shared" si="7"/>
        <v/>
      </c>
      <c r="C46" s="20">
        <f t="shared" si="8"/>
        <v>3</v>
      </c>
      <c r="D46" s="20"/>
      <c r="E46" s="70" t="str">
        <f t="shared" si="9"/>
        <v/>
      </c>
      <c r="F46" s="147" t="str">
        <f t="shared" si="10"/>
        <v>Methods of keeping risks to a minimum include: carrying out planning in advance; having a clear definition of scope; using predefined escalation procedures; supported by the use of individual testers with relevant experience and qualifications, working for certified organisations. An effective change management process should: cover changes to the scope of the penetration test, organisational controls and the individuals on the testing team; ensure that all parties involved adhere to the process and that changes to penetration testing are made quickly and efficiently. An effective problem management process should cover: tests not working as planned; problems caused as a result of the penetration testing; breaches of contract or codes of conduct; and effective, timely, problem resolution.</v>
      </c>
      <c r="G46" s="149"/>
      <c r="H46" s="150"/>
      <c r="I46" s="150"/>
      <c r="J46" s="150"/>
      <c r="K46" s="150"/>
      <c r="L46" s="150"/>
      <c r="M46" s="150"/>
      <c r="N46" s="69"/>
      <c r="O46" s="69"/>
      <c r="P46" s="69"/>
      <c r="Q46" s="69"/>
      <c r="R46" s="200"/>
      <c r="S46" s="200"/>
      <c r="T46" s="199" t="str">
        <f t="shared" si="11"/>
        <v/>
      </c>
      <c r="U46" s="200"/>
      <c r="V46" s="200"/>
      <c r="W46" s="82">
        <v>0</v>
      </c>
      <c r="X46" s="82">
        <f t="shared" si="12"/>
        <v>0</v>
      </c>
      <c r="Y46" s="193" t="e">
        <f t="shared" si="13"/>
        <v>#N/A</v>
      </c>
      <c r="AH46" s="69"/>
      <c r="AI46" s="80"/>
    </row>
    <row r="47" spans="1:35" s="75" customFormat="1" ht="30" customHeight="1" x14ac:dyDescent="0.25">
      <c r="A47" s="67">
        <v>40</v>
      </c>
      <c r="B47" s="146" t="str">
        <f t="shared" si="7"/>
        <v>B.6</v>
      </c>
      <c r="C47" s="20">
        <f t="shared" si="8"/>
        <v>2</v>
      </c>
      <c r="D47" s="20"/>
      <c r="E47" s="181" t="str">
        <f t="shared" si="9"/>
        <v>Step 6</v>
      </c>
      <c r="F47" s="184" t="str">
        <f t="shared" si="10"/>
        <v>Use an effective testing methodology</v>
      </c>
      <c r="G47" s="184"/>
      <c r="H47" s="184"/>
      <c r="I47" s="184"/>
      <c r="J47" s="184"/>
      <c r="K47" s="184"/>
      <c r="L47" s="184"/>
      <c r="M47" s="184"/>
      <c r="N47" s="184"/>
      <c r="O47" s="184"/>
      <c r="P47" s="184"/>
      <c r="Q47" s="184"/>
      <c r="R47" s="197"/>
      <c r="S47" s="198"/>
      <c r="T47" s="199" t="str">
        <f t="shared" si="11"/>
        <v>Step 6</v>
      </c>
      <c r="U47" s="198"/>
      <c r="V47" s="198"/>
      <c r="W47" s="82">
        <v>0</v>
      </c>
      <c r="X47" s="82">
        <f t="shared" si="12"/>
        <v>0</v>
      </c>
      <c r="Y47" s="193" t="e">
        <f t="shared" si="13"/>
        <v>#N/A</v>
      </c>
      <c r="AI47" s="80"/>
    </row>
    <row r="48" spans="1:35" s="75" customFormat="1" ht="30" x14ac:dyDescent="0.25">
      <c r="A48" s="67">
        <v>41</v>
      </c>
      <c r="B48" s="146" t="str">
        <f t="shared" si="7"/>
        <v>B.6.01</v>
      </c>
      <c r="C48" s="20">
        <f t="shared" si="8"/>
        <v>5</v>
      </c>
      <c r="D48" s="20"/>
      <c r="E48" s="70" t="str">
        <f t="shared" si="9"/>
        <v>B.6.01</v>
      </c>
      <c r="F48" s="71" t="str">
        <f t="shared" si="10"/>
        <v>When conducting penetration tests do you use a systematic, structured testing methodology?</v>
      </c>
      <c r="G48" s="149"/>
      <c r="H48" s="150"/>
      <c r="I48" s="150"/>
      <c r="J48" s="150"/>
      <c r="K48" s="150"/>
      <c r="L48" s="150"/>
      <c r="M48" s="150"/>
      <c r="N48" s="69"/>
      <c r="O48" s="69"/>
      <c r="P48" s="69"/>
      <c r="Q48" s="69"/>
      <c r="R48" s="200"/>
      <c r="S48" s="200"/>
      <c r="T48" s="199" t="str">
        <f t="shared" si="11"/>
        <v>B.6.01</v>
      </c>
      <c r="U48" s="200"/>
      <c r="V48" s="200"/>
      <c r="W48" s="82">
        <v>1</v>
      </c>
      <c r="X48" s="82">
        <f t="shared" si="12"/>
        <v>1</v>
      </c>
      <c r="Y48" s="193" t="str">
        <f t="shared" si="13"/>
        <v>x 1</v>
      </c>
      <c r="AI48" s="80"/>
    </row>
    <row r="49" spans="1:35" s="75" customFormat="1" ht="90" x14ac:dyDescent="0.25">
      <c r="A49" s="67">
        <v>42</v>
      </c>
      <c r="B49" s="146" t="str">
        <f t="shared" si="7"/>
        <v/>
      </c>
      <c r="C49" s="20">
        <f t="shared" si="8"/>
        <v>3</v>
      </c>
      <c r="D49" s="20"/>
      <c r="E49" s="70" t="str">
        <f t="shared" si="9"/>
        <v/>
      </c>
      <c r="F49" s="147" t="str">
        <f t="shared" si="10"/>
        <v>A systematic, structured testing methodology should: be based on proven approaches designed by authoritative publicly available sources; detail specific evaluation or testing criteria; adhere to a standard common language and scope for performing penetration testing; and specify a required approach (or approaches) for carrying out all stages of a comprehensive end-to-end penetration test.</v>
      </c>
      <c r="G49" s="149"/>
      <c r="H49" s="150"/>
      <c r="I49" s="150"/>
      <c r="J49" s="150"/>
      <c r="K49" s="150"/>
      <c r="L49" s="150"/>
      <c r="M49" s="150"/>
      <c r="N49" s="69"/>
      <c r="O49" s="69"/>
      <c r="P49" s="69"/>
      <c r="Q49" s="69"/>
      <c r="R49" s="200"/>
      <c r="S49" s="200"/>
      <c r="T49" s="199" t="str">
        <f t="shared" si="11"/>
        <v/>
      </c>
      <c r="U49" s="200"/>
      <c r="V49" s="200"/>
      <c r="W49" s="82">
        <v>0</v>
      </c>
      <c r="X49" s="82">
        <f t="shared" si="12"/>
        <v>0</v>
      </c>
      <c r="Y49" s="193" t="e">
        <f t="shared" si="13"/>
        <v>#N/A</v>
      </c>
      <c r="AH49" s="69"/>
      <c r="AI49" s="80"/>
    </row>
    <row r="50" spans="1:35" s="75" customFormat="1" ht="30" customHeight="1" x14ac:dyDescent="0.25">
      <c r="A50" s="67">
        <v>43</v>
      </c>
      <c r="B50" s="146" t="str">
        <f t="shared" si="7"/>
        <v>B.7</v>
      </c>
      <c r="C50" s="20">
        <f t="shared" si="8"/>
        <v>2</v>
      </c>
      <c r="D50" s="20"/>
      <c r="E50" s="181" t="str">
        <f t="shared" si="9"/>
        <v>Step 7</v>
      </c>
      <c r="F50" s="184" t="str">
        <f t="shared" si="10"/>
        <v>Conduct sufficient research and planning</v>
      </c>
      <c r="G50" s="184"/>
      <c r="H50" s="184"/>
      <c r="I50" s="184"/>
      <c r="J50" s="184"/>
      <c r="K50" s="184"/>
      <c r="L50" s="184"/>
      <c r="M50" s="184"/>
      <c r="N50" s="184"/>
      <c r="O50" s="184"/>
      <c r="P50" s="184"/>
      <c r="Q50" s="184"/>
      <c r="R50" s="197"/>
      <c r="S50" s="198"/>
      <c r="T50" s="199" t="str">
        <f t="shared" si="11"/>
        <v>Step 7</v>
      </c>
      <c r="U50" s="198"/>
      <c r="V50" s="198"/>
      <c r="W50" s="82">
        <v>0</v>
      </c>
      <c r="X50" s="82">
        <f t="shared" si="12"/>
        <v>0</v>
      </c>
      <c r="Y50" s="193" t="e">
        <f t="shared" si="13"/>
        <v>#N/A</v>
      </c>
      <c r="AI50" s="80"/>
    </row>
    <row r="51" spans="1:35" s="75" customFormat="1" ht="60" x14ac:dyDescent="0.25">
      <c r="A51" s="67">
        <v>44</v>
      </c>
      <c r="B51" s="146" t="str">
        <f t="shared" si="7"/>
        <v>B.7.01</v>
      </c>
      <c r="C51" s="20">
        <f t="shared" si="8"/>
        <v>5</v>
      </c>
      <c r="D51" s="20"/>
      <c r="E51" s="70" t="str">
        <f t="shared" si="9"/>
        <v>B.7.01</v>
      </c>
      <c r="F51" s="71" t="str">
        <f t="shared" si="10"/>
        <v>Are detailed test plans produced to provide guidelines for the penetration testing to be undertaken, supported by research to imitate the research activities that a potential attacker could undertake to find out as much about the target environment and how it works as possible?</v>
      </c>
      <c r="G51" s="149"/>
      <c r="H51" s="150"/>
      <c r="I51" s="150"/>
      <c r="J51" s="150"/>
      <c r="K51" s="150"/>
      <c r="L51" s="150"/>
      <c r="M51" s="150"/>
      <c r="N51" s="69"/>
      <c r="O51" s="69"/>
      <c r="P51" s="69"/>
      <c r="Q51" s="69"/>
      <c r="R51" s="200"/>
      <c r="S51" s="200"/>
      <c r="T51" s="199" t="str">
        <f t="shared" si="11"/>
        <v>B.7.01</v>
      </c>
      <c r="U51" s="200"/>
      <c r="V51" s="200"/>
      <c r="W51" s="82">
        <v>1</v>
      </c>
      <c r="X51" s="82">
        <f t="shared" si="12"/>
        <v>1</v>
      </c>
      <c r="Y51" s="193" t="str">
        <f t="shared" si="13"/>
        <v>x 1</v>
      </c>
      <c r="AI51" s="80"/>
    </row>
    <row r="52" spans="1:35" s="75" customFormat="1" ht="75" x14ac:dyDescent="0.25">
      <c r="A52" s="67">
        <v>45</v>
      </c>
      <c r="B52" s="146" t="str">
        <f t="shared" si="7"/>
        <v/>
      </c>
      <c r="C52" s="20">
        <f t="shared" si="8"/>
        <v>3</v>
      </c>
      <c r="D52" s="20"/>
      <c r="E52" s="70" t="str">
        <f t="shared" si="9"/>
        <v/>
      </c>
      <c r="F52" s="147" t="str">
        <f t="shared" si="10"/>
        <v>Detailed test plans should be produced by your testing service provider; agreed with your organisation prior to any testing commencing; specify what will actually be done during the test itself; and help to assure the process for a proper security test without creating misunderstandings, misconceptions, or false expectations.</v>
      </c>
      <c r="G52" s="149"/>
      <c r="H52" s="150"/>
      <c r="I52" s="150"/>
      <c r="J52" s="150"/>
      <c r="K52" s="150"/>
      <c r="L52" s="150"/>
      <c r="M52" s="150"/>
      <c r="N52" s="69"/>
      <c r="O52" s="69"/>
      <c r="P52" s="69"/>
      <c r="Q52" s="69"/>
      <c r="R52" s="200"/>
      <c r="S52" s="200"/>
      <c r="T52" s="199" t="str">
        <f t="shared" si="11"/>
        <v/>
      </c>
      <c r="U52" s="200"/>
      <c r="V52" s="200"/>
      <c r="W52" s="82">
        <v>0</v>
      </c>
      <c r="X52" s="82">
        <f t="shared" si="12"/>
        <v>0</v>
      </c>
      <c r="Y52" s="193" t="e">
        <f t="shared" si="13"/>
        <v>#N/A</v>
      </c>
      <c r="AH52" s="69"/>
      <c r="AI52" s="80"/>
    </row>
    <row r="53" spans="1:35" s="75" customFormat="1" ht="30" customHeight="1" x14ac:dyDescent="0.25">
      <c r="A53" s="67">
        <v>46</v>
      </c>
      <c r="B53" s="146" t="str">
        <f t="shared" si="7"/>
        <v>B.8</v>
      </c>
      <c r="C53" s="20">
        <f t="shared" si="8"/>
        <v>2</v>
      </c>
      <c r="D53" s="20"/>
      <c r="E53" s="181" t="str">
        <f t="shared" si="9"/>
        <v>Step 8</v>
      </c>
      <c r="F53" s="184" t="str">
        <f t="shared" si="10"/>
        <v>Identify and exploit vulnerabilities</v>
      </c>
      <c r="G53" s="184"/>
      <c r="H53" s="184"/>
      <c r="I53" s="184"/>
      <c r="J53" s="184"/>
      <c r="K53" s="184"/>
      <c r="L53" s="184"/>
      <c r="M53" s="184"/>
      <c r="N53" s="184"/>
      <c r="O53" s="184"/>
      <c r="P53" s="184"/>
      <c r="Q53" s="184"/>
      <c r="R53" s="197"/>
      <c r="S53" s="198"/>
      <c r="T53" s="199" t="str">
        <f t="shared" si="11"/>
        <v>Step 8</v>
      </c>
      <c r="U53" s="198"/>
      <c r="V53" s="198"/>
      <c r="W53" s="82">
        <v>0</v>
      </c>
      <c r="X53" s="82">
        <f t="shared" si="12"/>
        <v>0</v>
      </c>
      <c r="Y53" s="193" t="e">
        <f t="shared" si="13"/>
        <v>#N/A</v>
      </c>
      <c r="AI53" s="80"/>
    </row>
    <row r="54" spans="1:35" s="75" customFormat="1" ht="45" x14ac:dyDescent="0.25">
      <c r="A54" s="67">
        <v>47</v>
      </c>
      <c r="B54" s="146" t="str">
        <f t="shared" si="7"/>
        <v>B.8.01</v>
      </c>
      <c r="C54" s="20">
        <f t="shared" si="8"/>
        <v>5</v>
      </c>
      <c r="D54" s="20"/>
      <c r="E54" s="70" t="str">
        <f t="shared" si="9"/>
        <v>B.8.01</v>
      </c>
      <c r="F54" s="71" t="str">
        <f t="shared" si="10"/>
        <v>Does penetration testing include testers identifying a range of potential vulnerabilities in target systems, then trying to exploit the vulnerabilities identified and actually penetrate the target system?</v>
      </c>
      <c r="G54" s="149"/>
      <c r="H54" s="150"/>
      <c r="I54" s="150"/>
      <c r="J54" s="150"/>
      <c r="K54" s="150"/>
      <c r="L54" s="150"/>
      <c r="M54" s="150"/>
      <c r="N54" s="69"/>
      <c r="O54" s="69"/>
      <c r="P54" s="69"/>
      <c r="Q54" s="69"/>
      <c r="R54" s="200"/>
      <c r="S54" s="200"/>
      <c r="T54" s="199" t="str">
        <f t="shared" si="11"/>
        <v>B.8.01</v>
      </c>
      <c r="U54" s="200"/>
      <c r="V54" s="200"/>
      <c r="W54" s="82">
        <v>1</v>
      </c>
      <c r="X54" s="82">
        <f t="shared" si="12"/>
        <v>1</v>
      </c>
      <c r="Y54" s="193" t="str">
        <f t="shared" si="13"/>
        <v>x 1</v>
      </c>
      <c r="AI54" s="80"/>
    </row>
    <row r="55" spans="1:35" s="75" customFormat="1" ht="105" x14ac:dyDescent="0.25">
      <c r="A55" s="67">
        <v>48</v>
      </c>
      <c r="B55" s="146" t="str">
        <f t="shared" si="7"/>
        <v/>
      </c>
      <c r="C55" s="20">
        <f t="shared" si="8"/>
        <v>3</v>
      </c>
      <c r="D55" s="20"/>
      <c r="E55" s="70" t="str">
        <f t="shared" si="9"/>
        <v/>
      </c>
      <c r="F55" s="147" t="str">
        <f t="shared" si="10"/>
        <v>Vulnerability identification and exploitation typically include testers examining: Attack avenues, vectors and threat agents; results from threat analysis; technical system / network / application vulnerabilities; and control weaknesses - supported by a range of techniques (e.g. exploit techniques; escalation techniques; advancement techniques; and analysis techniques) to try and take advantage of specific weaknesses.</v>
      </c>
      <c r="G55" s="149"/>
      <c r="H55" s="150"/>
      <c r="I55" s="150"/>
      <c r="J55" s="150"/>
      <c r="K55" s="150"/>
      <c r="L55" s="150"/>
      <c r="M55" s="150"/>
      <c r="N55" s="69"/>
      <c r="O55" s="69"/>
      <c r="P55" s="69"/>
      <c r="Q55" s="69"/>
      <c r="R55" s="200"/>
      <c r="S55" s="200"/>
      <c r="T55" s="199" t="str">
        <f t="shared" si="11"/>
        <v/>
      </c>
      <c r="U55" s="200"/>
      <c r="V55" s="200"/>
      <c r="W55" s="82">
        <v>0</v>
      </c>
      <c r="X55" s="82">
        <f t="shared" si="12"/>
        <v>0</v>
      </c>
      <c r="Y55" s="193" t="e">
        <f t="shared" si="13"/>
        <v>#N/A</v>
      </c>
      <c r="AH55" s="69"/>
      <c r="AI55" s="80"/>
    </row>
    <row r="56" spans="1:35" s="75" customFormat="1" ht="30" customHeight="1" x14ac:dyDescent="0.25">
      <c r="A56" s="67">
        <v>49</v>
      </c>
      <c r="B56" s="146" t="str">
        <f t="shared" si="7"/>
        <v>B.9</v>
      </c>
      <c r="C56" s="20">
        <f t="shared" si="8"/>
        <v>2</v>
      </c>
      <c r="D56" s="20"/>
      <c r="E56" s="181" t="str">
        <f t="shared" si="9"/>
        <v>Step 9</v>
      </c>
      <c r="F56" s="184" t="str">
        <f t="shared" si="10"/>
        <v>Report key findings</v>
      </c>
      <c r="G56" s="184"/>
      <c r="H56" s="184"/>
      <c r="I56" s="184"/>
      <c r="J56" s="184"/>
      <c r="K56" s="184"/>
      <c r="L56" s="184"/>
      <c r="M56" s="184"/>
      <c r="N56" s="184"/>
      <c r="O56" s="184"/>
      <c r="P56" s="184"/>
      <c r="Q56" s="184"/>
      <c r="R56" s="197"/>
      <c r="S56" s="198"/>
      <c r="T56" s="199" t="str">
        <f t="shared" si="11"/>
        <v>Step 9</v>
      </c>
      <c r="U56" s="198"/>
      <c r="V56" s="198"/>
      <c r="W56" s="82">
        <v>0</v>
      </c>
      <c r="X56" s="82">
        <f t="shared" si="12"/>
        <v>0</v>
      </c>
      <c r="Y56" s="193" t="e">
        <f t="shared" si="13"/>
        <v>#N/A</v>
      </c>
      <c r="AI56" s="80"/>
    </row>
    <row r="57" spans="1:35" s="75" customFormat="1" ht="30" x14ac:dyDescent="0.25">
      <c r="A57" s="67">
        <v>50</v>
      </c>
      <c r="B57" s="146" t="str">
        <f t="shared" si="7"/>
        <v>B.9.01</v>
      </c>
      <c r="C57" s="20">
        <f t="shared" si="8"/>
        <v>5</v>
      </c>
      <c r="D57" s="20"/>
      <c r="E57" s="70" t="str">
        <f t="shared" si="9"/>
        <v>B.9.01</v>
      </c>
      <c r="F57" s="71" t="str">
        <f t="shared" si="10"/>
        <v>Are findings identified during the penetration test reported to your organisation?</v>
      </c>
      <c r="G57" s="149"/>
      <c r="H57" s="150"/>
      <c r="I57" s="150"/>
      <c r="J57" s="150"/>
      <c r="K57" s="150"/>
      <c r="L57" s="150"/>
      <c r="M57" s="150"/>
      <c r="N57" s="69"/>
      <c r="O57" s="69"/>
      <c r="P57" s="69"/>
      <c r="Q57" s="69"/>
      <c r="R57" s="200"/>
      <c r="S57" s="200"/>
      <c r="T57" s="199" t="str">
        <f t="shared" si="11"/>
        <v>B.9.01</v>
      </c>
      <c r="U57" s="200"/>
      <c r="V57" s="200"/>
      <c r="W57" s="82">
        <v>1</v>
      </c>
      <c r="X57" s="82">
        <f t="shared" si="12"/>
        <v>1</v>
      </c>
      <c r="Y57" s="193" t="str">
        <f t="shared" si="13"/>
        <v>x 1</v>
      </c>
      <c r="AI57" s="80"/>
    </row>
    <row r="58" spans="1:35" s="75" customFormat="1" ht="75" x14ac:dyDescent="0.25">
      <c r="A58" s="67">
        <v>51</v>
      </c>
      <c r="B58" s="146" t="str">
        <f t="shared" si="7"/>
        <v/>
      </c>
      <c r="C58" s="20">
        <f t="shared" si="8"/>
        <v>3</v>
      </c>
      <c r="D58" s="20"/>
      <c r="E58" s="70" t="str">
        <f t="shared" si="9"/>
        <v/>
      </c>
      <c r="F58" s="147" t="str">
        <f t="shared" si="10"/>
        <v>Findings should be formally presented to your organisation by suppliers, who should provide details about: how testers found the vulnerabilities; what could be the outcome of each vulnerability; the level of risk to the business for each vulnerability; and advice on how to remediate each vulnerability.</v>
      </c>
      <c r="G58" s="149"/>
      <c r="H58" s="150"/>
      <c r="I58" s="150"/>
      <c r="J58" s="150"/>
      <c r="K58" s="150"/>
      <c r="L58" s="150"/>
      <c r="M58" s="150"/>
      <c r="N58" s="69"/>
      <c r="O58" s="69"/>
      <c r="P58" s="69"/>
      <c r="Q58" s="69"/>
      <c r="R58" s="200"/>
      <c r="S58" s="200"/>
      <c r="T58" s="199" t="str">
        <f t="shared" si="11"/>
        <v/>
      </c>
      <c r="U58" s="200"/>
      <c r="V58" s="200"/>
      <c r="W58" s="82">
        <v>0</v>
      </c>
      <c r="X58" s="82">
        <f t="shared" si="12"/>
        <v>0</v>
      </c>
      <c r="Y58" s="193" t="e">
        <f t="shared" si="13"/>
        <v>#N/A</v>
      </c>
      <c r="AH58" s="69"/>
      <c r="AI58" s="80"/>
    </row>
    <row r="59" spans="1:35" s="75" customFormat="1" ht="35.1" customHeight="1" x14ac:dyDescent="0.25">
      <c r="A59" s="67">
        <v>52</v>
      </c>
      <c r="B59" s="146" t="str">
        <f t="shared" si="7"/>
        <v>C</v>
      </c>
      <c r="C59" s="20">
        <f t="shared" si="8"/>
        <v>1</v>
      </c>
      <c r="D59" s="20"/>
      <c r="E59" s="182" t="str">
        <f t="shared" si="9"/>
        <v>Stage C</v>
      </c>
      <c r="F59" s="185" t="str">
        <f t="shared" si="10"/>
        <v>Follow up</v>
      </c>
      <c r="G59" s="187"/>
      <c r="H59" s="189"/>
      <c r="I59" s="189"/>
      <c r="J59" s="189"/>
      <c r="K59" s="189"/>
      <c r="L59" s="189"/>
      <c r="M59" s="187"/>
      <c r="N59" s="187"/>
      <c r="O59" s="187"/>
      <c r="P59" s="187"/>
      <c r="Q59" s="187"/>
      <c r="R59" s="201"/>
      <c r="S59" s="201"/>
      <c r="T59" s="199" t="str">
        <f t="shared" si="11"/>
        <v>Stage C</v>
      </c>
      <c r="U59" s="201"/>
      <c r="V59" s="201"/>
      <c r="W59" s="82">
        <v>0</v>
      </c>
      <c r="X59" s="82">
        <f t="shared" si="12"/>
        <v>0</v>
      </c>
      <c r="Y59" s="193" t="e">
        <f t="shared" si="13"/>
        <v>#N/A</v>
      </c>
      <c r="AI59" s="80"/>
    </row>
    <row r="60" spans="1:35" s="75" customFormat="1" ht="30" customHeight="1" x14ac:dyDescent="0.25">
      <c r="A60" s="67">
        <v>53</v>
      </c>
      <c r="B60" s="146" t="str">
        <f t="shared" si="7"/>
        <v>C.1</v>
      </c>
      <c r="C60" s="20">
        <f t="shared" si="8"/>
        <v>2</v>
      </c>
      <c r="D60" s="20"/>
      <c r="E60" s="181" t="str">
        <f t="shared" si="9"/>
        <v>Step 1</v>
      </c>
      <c r="F60" s="184" t="str">
        <f t="shared" si="10"/>
        <v>Remediate weaknesses</v>
      </c>
      <c r="G60" s="184"/>
      <c r="H60" s="184"/>
      <c r="I60" s="184"/>
      <c r="J60" s="184"/>
      <c r="K60" s="184"/>
      <c r="L60" s="184"/>
      <c r="M60" s="184"/>
      <c r="N60" s="184"/>
      <c r="O60" s="184"/>
      <c r="P60" s="184"/>
      <c r="Q60" s="184"/>
      <c r="R60" s="197"/>
      <c r="S60" s="198"/>
      <c r="T60" s="199" t="str">
        <f t="shared" si="11"/>
        <v>Step 1</v>
      </c>
      <c r="U60" s="198"/>
      <c r="V60" s="198"/>
      <c r="W60" s="82">
        <v>0</v>
      </c>
      <c r="X60" s="82">
        <f t="shared" si="12"/>
        <v>0</v>
      </c>
      <c r="Y60" s="193" t="e">
        <f t="shared" si="13"/>
        <v>#N/A</v>
      </c>
      <c r="AI60" s="80"/>
    </row>
    <row r="61" spans="1:35" s="75" customFormat="1" ht="30" x14ac:dyDescent="0.25">
      <c r="A61" s="67">
        <v>54</v>
      </c>
      <c r="B61" s="146" t="str">
        <f t="shared" si="7"/>
        <v>C.1.01</v>
      </c>
      <c r="C61" s="20">
        <f t="shared" si="8"/>
        <v>5</v>
      </c>
      <c r="D61" s="20"/>
      <c r="E61" s="70" t="str">
        <f t="shared" si="9"/>
        <v>C.1.01</v>
      </c>
      <c r="F61" s="71" t="str">
        <f t="shared" si="10"/>
        <v>Do follow-up activities include remediating weaknesses found during the testing process, reducing the risk of them being exploited again?</v>
      </c>
      <c r="G61" s="149"/>
      <c r="H61" s="150"/>
      <c r="I61" s="150"/>
      <c r="J61" s="150"/>
      <c r="K61" s="150"/>
      <c r="L61" s="150"/>
      <c r="M61" s="150"/>
      <c r="N61" s="69"/>
      <c r="O61" s="69"/>
      <c r="P61" s="69"/>
      <c r="Q61" s="69"/>
      <c r="R61" s="200"/>
      <c r="S61" s="200"/>
      <c r="T61" s="199" t="str">
        <f t="shared" si="11"/>
        <v>C.1.01</v>
      </c>
      <c r="U61" s="200"/>
      <c r="V61" s="200"/>
      <c r="W61" s="82">
        <v>1</v>
      </c>
      <c r="X61" s="82">
        <f t="shared" si="12"/>
        <v>1</v>
      </c>
      <c r="Y61" s="193" t="str">
        <f t="shared" si="13"/>
        <v>x 1</v>
      </c>
      <c r="AI61" s="80"/>
    </row>
    <row r="62" spans="1:35" s="75" customFormat="1" ht="105" x14ac:dyDescent="0.25">
      <c r="A62" s="67">
        <v>55</v>
      </c>
      <c r="B62" s="146" t="str">
        <f t="shared" si="7"/>
        <v/>
      </c>
      <c r="C62" s="20">
        <f t="shared" si="8"/>
        <v>3</v>
      </c>
      <c r="D62" s="20"/>
      <c r="E62" s="70" t="str">
        <f t="shared" si="9"/>
        <v/>
      </c>
      <c r="F62" s="147" t="str">
        <f t="shared" si="10"/>
        <v>An effective remediation process should include addressing all issues; applying immediate or short terms solutions (e.g. patching systems, closing ports and preventing traffic from particular web sites or IP addresses), replicating results of penetration tests, determining which weaknesses to address first (e.g. based on risk ratings for critical assets), and reporting weaknesses to relevant third party organisations.</v>
      </c>
      <c r="G62" s="149"/>
      <c r="H62" s="150"/>
      <c r="I62" s="150"/>
      <c r="J62" s="150"/>
      <c r="K62" s="150"/>
      <c r="L62" s="150"/>
      <c r="M62" s="150"/>
      <c r="N62" s="69"/>
      <c r="O62" s="69"/>
      <c r="P62" s="69"/>
      <c r="Q62" s="69"/>
      <c r="R62" s="200"/>
      <c r="S62" s="200"/>
      <c r="T62" s="199" t="str">
        <f t="shared" si="11"/>
        <v/>
      </c>
      <c r="U62" s="200"/>
      <c r="V62" s="200"/>
      <c r="W62" s="82">
        <v>0</v>
      </c>
      <c r="X62" s="82">
        <f t="shared" si="12"/>
        <v>0</v>
      </c>
      <c r="Y62" s="193" t="e">
        <f t="shared" si="13"/>
        <v>#N/A</v>
      </c>
      <c r="AH62" s="69"/>
      <c r="AI62" s="80"/>
    </row>
    <row r="63" spans="1:35" s="75" customFormat="1" ht="30" customHeight="1" x14ac:dyDescent="0.25">
      <c r="A63" s="67">
        <v>56</v>
      </c>
      <c r="B63" s="146" t="str">
        <f t="shared" si="7"/>
        <v>C.2</v>
      </c>
      <c r="C63" s="20">
        <f t="shared" si="8"/>
        <v>2</v>
      </c>
      <c r="D63" s="20"/>
      <c r="E63" s="181" t="str">
        <f t="shared" si="9"/>
        <v>Step 2</v>
      </c>
      <c r="F63" s="184" t="str">
        <f t="shared" si="10"/>
        <v>Address root causes of weaknesses</v>
      </c>
      <c r="G63" s="184"/>
      <c r="H63" s="184"/>
      <c r="I63" s="184"/>
      <c r="J63" s="184"/>
      <c r="K63" s="184"/>
      <c r="L63" s="184"/>
      <c r="M63" s="184"/>
      <c r="N63" s="184"/>
      <c r="O63" s="184"/>
      <c r="P63" s="184"/>
      <c r="Q63" s="184"/>
      <c r="R63" s="197"/>
      <c r="S63" s="198"/>
      <c r="T63" s="199" t="str">
        <f t="shared" si="11"/>
        <v>Step 2</v>
      </c>
      <c r="U63" s="198"/>
      <c r="V63" s="198"/>
      <c r="W63" s="82">
        <v>0</v>
      </c>
      <c r="X63" s="82">
        <f t="shared" si="12"/>
        <v>0</v>
      </c>
      <c r="Y63" s="193" t="e">
        <f t="shared" si="13"/>
        <v>#N/A</v>
      </c>
      <c r="AI63" s="80"/>
    </row>
    <row r="64" spans="1:35" s="75" customFormat="1" ht="30" x14ac:dyDescent="0.25">
      <c r="A64" s="67">
        <v>57</v>
      </c>
      <c r="B64" s="146" t="str">
        <f t="shared" si="7"/>
        <v>C.2.01</v>
      </c>
      <c r="C64" s="20">
        <f t="shared" si="8"/>
        <v>5</v>
      </c>
      <c r="D64" s="20"/>
      <c r="E64" s="70" t="str">
        <f t="shared" si="9"/>
        <v>C.2.01</v>
      </c>
      <c r="F64" s="71" t="str">
        <f t="shared" si="10"/>
        <v>Do follow-up activities include analysing and addressing the root causes of weaknesses identified in penetration testing?</v>
      </c>
      <c r="G64" s="149"/>
      <c r="H64" s="150"/>
      <c r="I64" s="150"/>
      <c r="J64" s="150"/>
      <c r="K64" s="150"/>
      <c r="L64" s="150"/>
      <c r="M64" s="150"/>
      <c r="N64" s="69"/>
      <c r="O64" s="69"/>
      <c r="P64" s="69"/>
      <c r="Q64" s="69"/>
      <c r="R64" s="200"/>
      <c r="S64" s="200"/>
      <c r="T64" s="199" t="str">
        <f t="shared" si="11"/>
        <v>C.2.01</v>
      </c>
      <c r="U64" s="200"/>
      <c r="V64" s="200"/>
      <c r="W64" s="82">
        <v>1</v>
      </c>
      <c r="X64" s="82">
        <f t="shared" si="12"/>
        <v>1</v>
      </c>
      <c r="Y64" s="193" t="str">
        <f t="shared" si="13"/>
        <v>x 1</v>
      </c>
      <c r="AI64" s="80"/>
    </row>
    <row r="65" spans="1:35" s="75" customFormat="1" ht="75" x14ac:dyDescent="0.25">
      <c r="A65" s="67">
        <v>58</v>
      </c>
      <c r="B65" s="146" t="str">
        <f t="shared" si="7"/>
        <v/>
      </c>
      <c r="C65" s="20">
        <f t="shared" si="8"/>
        <v>3</v>
      </c>
      <c r="D65" s="20"/>
      <c r="E65" s="70" t="str">
        <f t="shared" si="9"/>
        <v/>
      </c>
      <c r="F65" s="147" t="str">
        <f t="shared" si="10"/>
        <v>Root cause analysis should include: identifying the real root causes of exposures; evaluating potential business impact; identifying more endemic or fundamental root causes; involving qualified, experienced security professionals to help define corrective action strategy and plans.</v>
      </c>
      <c r="G65" s="149"/>
      <c r="H65" s="150"/>
      <c r="I65" s="150"/>
      <c r="J65" s="150"/>
      <c r="K65" s="150"/>
      <c r="L65" s="150"/>
      <c r="M65" s="150"/>
      <c r="N65" s="69"/>
      <c r="O65" s="69"/>
      <c r="P65" s="69"/>
      <c r="Q65" s="69"/>
      <c r="R65" s="200"/>
      <c r="S65" s="200"/>
      <c r="T65" s="199" t="str">
        <f t="shared" si="11"/>
        <v/>
      </c>
      <c r="U65" s="200"/>
      <c r="V65" s="200"/>
      <c r="W65" s="82">
        <v>0</v>
      </c>
      <c r="X65" s="82">
        <f t="shared" si="12"/>
        <v>0</v>
      </c>
      <c r="Y65" s="193" t="e">
        <f t="shared" si="13"/>
        <v>#N/A</v>
      </c>
      <c r="AH65" s="69"/>
      <c r="AI65" s="80"/>
    </row>
    <row r="66" spans="1:35" s="75" customFormat="1" ht="30" customHeight="1" x14ac:dyDescent="0.25">
      <c r="A66" s="67">
        <v>59</v>
      </c>
      <c r="B66" s="146" t="str">
        <f t="shared" si="7"/>
        <v>C.3</v>
      </c>
      <c r="C66" s="20">
        <f t="shared" si="8"/>
        <v>2</v>
      </c>
      <c r="D66" s="20"/>
      <c r="E66" s="181" t="str">
        <f t="shared" si="9"/>
        <v>Step 3</v>
      </c>
      <c r="F66" s="184" t="str">
        <f t="shared" si="10"/>
        <v>Initiate improvement programme</v>
      </c>
      <c r="G66" s="184"/>
      <c r="H66" s="184"/>
      <c r="I66" s="184"/>
      <c r="J66" s="184"/>
      <c r="K66" s="184"/>
      <c r="L66" s="184"/>
      <c r="M66" s="184"/>
      <c r="N66" s="184"/>
      <c r="O66" s="184"/>
      <c r="P66" s="184"/>
      <c r="Q66" s="184"/>
      <c r="R66" s="197"/>
      <c r="S66" s="198"/>
      <c r="T66" s="199" t="str">
        <f t="shared" si="11"/>
        <v>Step 3</v>
      </c>
      <c r="U66" s="198"/>
      <c r="V66" s="198"/>
      <c r="W66" s="82">
        <v>0</v>
      </c>
      <c r="X66" s="82">
        <f t="shared" si="12"/>
        <v>0</v>
      </c>
      <c r="Y66" s="193" t="e">
        <f t="shared" si="13"/>
        <v>#N/A</v>
      </c>
      <c r="AI66" s="80"/>
    </row>
    <row r="67" spans="1:35" s="75" customFormat="1" ht="30" x14ac:dyDescent="0.25">
      <c r="A67" s="67">
        <v>60</v>
      </c>
      <c r="B67" s="146" t="str">
        <f t="shared" si="7"/>
        <v>C.3.01</v>
      </c>
      <c r="C67" s="20">
        <f t="shared" si="8"/>
        <v>5</v>
      </c>
      <c r="D67" s="20"/>
      <c r="E67" s="70" t="str">
        <f t="shared" si="9"/>
        <v>C.3.01</v>
      </c>
      <c r="F67" s="71" t="str">
        <f t="shared" si="10"/>
        <v>On completion of penetration tests, is an improvement programme initiated?</v>
      </c>
      <c r="G67" s="149"/>
      <c r="H67" s="150"/>
      <c r="I67" s="150"/>
      <c r="J67" s="150"/>
      <c r="K67" s="150"/>
      <c r="L67" s="150"/>
      <c r="M67" s="150"/>
      <c r="N67" s="69"/>
      <c r="O67" s="69"/>
      <c r="P67" s="69"/>
      <c r="Q67" s="69"/>
      <c r="R67" s="200"/>
      <c r="S67" s="200"/>
      <c r="T67" s="199" t="str">
        <f t="shared" si="11"/>
        <v>C.3.01</v>
      </c>
      <c r="U67" s="200"/>
      <c r="V67" s="200"/>
      <c r="W67" s="82">
        <v>1</v>
      </c>
      <c r="X67" s="82">
        <f t="shared" si="12"/>
        <v>1</v>
      </c>
      <c r="Y67" s="193" t="str">
        <f t="shared" si="13"/>
        <v>x 1</v>
      </c>
      <c r="AI67" s="80"/>
    </row>
    <row r="68" spans="1:35" s="75" customFormat="1" ht="75" x14ac:dyDescent="0.25">
      <c r="A68" s="67">
        <v>61</v>
      </c>
      <c r="B68" s="146" t="str">
        <f t="shared" si="7"/>
        <v/>
      </c>
      <c r="C68" s="20">
        <f t="shared" si="8"/>
        <v>3</v>
      </c>
      <c r="D68" s="20"/>
      <c r="E68" s="70" t="str">
        <f t="shared" si="9"/>
        <v/>
      </c>
      <c r="F68" s="147" t="str">
        <f t="shared" si="10"/>
        <v>The improvement programme should be carried out in a structured / systematic manner: addressing root causes of weakness; evaluating penetration testing effectiveness; identifying lessons learned; applying good practice enterprise-wide; creating and monitoring action plans; and agreeing approaches for future testing.</v>
      </c>
      <c r="G68" s="149"/>
      <c r="H68" s="150"/>
      <c r="I68" s="150"/>
      <c r="J68" s="150"/>
      <c r="K68" s="150"/>
      <c r="L68" s="150"/>
      <c r="M68" s="150"/>
      <c r="N68" s="69"/>
      <c r="O68" s="69"/>
      <c r="P68" s="69"/>
      <c r="Q68" s="69"/>
      <c r="R68" s="200"/>
      <c r="S68" s="200"/>
      <c r="T68" s="199" t="str">
        <f t="shared" si="11"/>
        <v/>
      </c>
      <c r="U68" s="200"/>
      <c r="V68" s="200"/>
      <c r="W68" s="82">
        <v>0</v>
      </c>
      <c r="X68" s="82">
        <f t="shared" si="12"/>
        <v>0</v>
      </c>
      <c r="Y68" s="193" t="e">
        <f t="shared" si="13"/>
        <v>#N/A</v>
      </c>
      <c r="AH68" s="69"/>
      <c r="AI68" s="80"/>
    </row>
    <row r="69" spans="1:35" s="75" customFormat="1" ht="30" customHeight="1" x14ac:dyDescent="0.25">
      <c r="A69" s="67">
        <v>62</v>
      </c>
      <c r="B69" s="146" t="str">
        <f t="shared" si="7"/>
        <v>C.4</v>
      </c>
      <c r="C69" s="20">
        <f t="shared" si="8"/>
        <v>2</v>
      </c>
      <c r="D69" s="20"/>
      <c r="E69" s="181" t="str">
        <f t="shared" si="9"/>
        <v>Step 4</v>
      </c>
      <c r="F69" s="184" t="str">
        <f t="shared" si="10"/>
        <v>Evaluate penetration testing effectiveness</v>
      </c>
      <c r="G69" s="184"/>
      <c r="H69" s="184"/>
      <c r="I69" s="184"/>
      <c r="J69" s="184"/>
      <c r="K69" s="184"/>
      <c r="L69" s="184"/>
      <c r="M69" s="184"/>
      <c r="N69" s="184"/>
      <c r="O69" s="184"/>
      <c r="P69" s="184"/>
      <c r="Q69" s="184"/>
      <c r="R69" s="197"/>
      <c r="S69" s="198"/>
      <c r="T69" s="199" t="str">
        <f t="shared" si="11"/>
        <v>Step 4</v>
      </c>
      <c r="U69" s="198"/>
      <c r="V69" s="198"/>
      <c r="W69" s="82">
        <v>0</v>
      </c>
      <c r="X69" s="82">
        <f t="shared" si="12"/>
        <v>0</v>
      </c>
      <c r="Y69" s="193" t="e">
        <f t="shared" si="13"/>
        <v>#N/A</v>
      </c>
      <c r="AI69" s="80"/>
    </row>
    <row r="70" spans="1:35" s="75" customFormat="1" ht="30" customHeight="1" x14ac:dyDescent="0.25">
      <c r="A70" s="67">
        <v>63</v>
      </c>
      <c r="B70" s="146" t="str">
        <f t="shared" si="7"/>
        <v>C.4.01</v>
      </c>
      <c r="C70" s="20">
        <f t="shared" si="8"/>
        <v>5</v>
      </c>
      <c r="D70" s="20"/>
      <c r="E70" s="70" t="str">
        <f t="shared" si="9"/>
        <v>C.4.01</v>
      </c>
      <c r="F70" s="71" t="str">
        <f t="shared" si="10"/>
        <v>Is the effectiveness of your penetration tests evaluated?</v>
      </c>
      <c r="G70" s="149"/>
      <c r="H70" s="150"/>
      <c r="I70" s="150"/>
      <c r="J70" s="150"/>
      <c r="K70" s="150"/>
      <c r="L70" s="150"/>
      <c r="M70" s="150"/>
      <c r="N70" s="69"/>
      <c r="O70" s="69"/>
      <c r="P70" s="69"/>
      <c r="Q70" s="69"/>
      <c r="R70" s="200"/>
      <c r="S70" s="200"/>
      <c r="T70" s="199" t="str">
        <f t="shared" si="11"/>
        <v>C.4.01</v>
      </c>
      <c r="U70" s="200"/>
      <c r="V70" s="200"/>
      <c r="W70" s="82">
        <v>1</v>
      </c>
      <c r="X70" s="82">
        <f t="shared" si="12"/>
        <v>1</v>
      </c>
      <c r="Y70" s="193" t="str">
        <f t="shared" si="13"/>
        <v>x 1</v>
      </c>
      <c r="AI70" s="80"/>
    </row>
    <row r="71" spans="1:35" s="75" customFormat="1" ht="75" x14ac:dyDescent="0.25">
      <c r="A71" s="67">
        <v>64</v>
      </c>
      <c r="B71" s="146" t="str">
        <f t="shared" si="7"/>
        <v/>
      </c>
      <c r="C71" s="20">
        <f t="shared" si="8"/>
        <v>3</v>
      </c>
      <c r="D71" s="20"/>
      <c r="E71" s="70" t="str">
        <f t="shared" si="9"/>
        <v/>
      </c>
      <c r="F71" s="147" t="str">
        <f t="shared" si="10"/>
        <v>Evaluation of the effectiveness of penetration testing should include: determining if objectives were met; assessing if sufficient weaknesses were identified; reviewing exploitations undertaken; comparing test results to external benchmarks; and determining if value for money was obtained from your service provider.</v>
      </c>
      <c r="G71" s="149"/>
      <c r="H71" s="150"/>
      <c r="I71" s="150"/>
      <c r="J71" s="150"/>
      <c r="K71" s="150"/>
      <c r="L71" s="150"/>
      <c r="M71" s="150"/>
      <c r="N71" s="69"/>
      <c r="O71" s="69"/>
      <c r="P71" s="69"/>
      <c r="Q71" s="69"/>
      <c r="R71" s="200"/>
      <c r="S71" s="200"/>
      <c r="T71" s="199" t="str">
        <f t="shared" si="11"/>
        <v/>
      </c>
      <c r="U71" s="200"/>
      <c r="V71" s="200"/>
      <c r="W71" s="82">
        <v>0</v>
      </c>
      <c r="X71" s="82">
        <f t="shared" si="12"/>
        <v>0</v>
      </c>
      <c r="Y71" s="193" t="e">
        <f t="shared" si="13"/>
        <v>#N/A</v>
      </c>
      <c r="AH71" s="69"/>
      <c r="AI71" s="80"/>
    </row>
    <row r="72" spans="1:35" s="75" customFormat="1" ht="30" customHeight="1" x14ac:dyDescent="0.25">
      <c r="A72" s="67">
        <v>65</v>
      </c>
      <c r="B72" s="146" t="str">
        <f t="shared" ref="B72:B77" si="14">VLOOKUP(A72,contentrefmockup,2,FALSE)</f>
        <v>C.5</v>
      </c>
      <c r="C72" s="20">
        <f t="shared" ref="C72:C77" si="15">VLOOKUP(A72,contentrefmockup,15,FALSE)</f>
        <v>2</v>
      </c>
      <c r="D72" s="20"/>
      <c r="E72" s="181" t="str">
        <f t="shared" ref="E72:E77" si="16">IF(C72=1,"Stage "&amp;B72,IF(C72=2,"Step "&amp;VLOOKUP(A72,contentrefmockup,4,FALSE),B72))</f>
        <v>Step 5</v>
      </c>
      <c r="F72" s="184" t="str">
        <f t="shared" ref="F72:F77" si="17">VLOOKUP(A72,contentrefmockup,7,FALSE)</f>
        <v>Build on lessons learned</v>
      </c>
      <c r="G72" s="184"/>
      <c r="H72" s="184"/>
      <c r="I72" s="184"/>
      <c r="J72" s="184"/>
      <c r="K72" s="184"/>
      <c r="L72" s="184"/>
      <c r="M72" s="184"/>
      <c r="N72" s="184"/>
      <c r="O72" s="184"/>
      <c r="P72" s="184"/>
      <c r="Q72" s="184"/>
      <c r="R72" s="197"/>
      <c r="S72" s="198"/>
      <c r="T72" s="199" t="str">
        <f t="shared" ref="T72:T77" si="18">E72</f>
        <v>Step 5</v>
      </c>
      <c r="U72" s="198"/>
      <c r="V72" s="198"/>
      <c r="W72" s="82">
        <v>0</v>
      </c>
      <c r="X72" s="82">
        <f t="shared" ref="X72:X77" si="19">VLOOKUP(A72,contentrefmockup,8,FALSE)</f>
        <v>0</v>
      </c>
      <c r="Y72" s="193" t="e">
        <f t="shared" ref="Y72:Y77" si="20">VLOOKUP(W72,weighting_response_reverse,2,FALSE)</f>
        <v>#N/A</v>
      </c>
      <c r="AI72" s="80"/>
    </row>
    <row r="73" spans="1:35" s="75" customFormat="1" ht="45" x14ac:dyDescent="0.25">
      <c r="A73" s="67">
        <v>66</v>
      </c>
      <c r="B73" s="146" t="str">
        <f t="shared" si="14"/>
        <v>C.5.01</v>
      </c>
      <c r="C73" s="20">
        <f t="shared" si="15"/>
        <v>5</v>
      </c>
      <c r="D73" s="20"/>
      <c r="E73" s="70" t="str">
        <f t="shared" si="16"/>
        <v>C.5.01</v>
      </c>
      <c r="F73" s="71" t="str">
        <f t="shared" si="17"/>
        <v>Does your penetration testing approach include identifying, recording, analysing and acting upon lessons learned, ensuring good practices are applied to other environments?</v>
      </c>
      <c r="G73" s="149"/>
      <c r="H73" s="150"/>
      <c r="I73" s="150"/>
      <c r="J73" s="150"/>
      <c r="K73" s="150"/>
      <c r="L73" s="150"/>
      <c r="M73" s="150"/>
      <c r="N73" s="69"/>
      <c r="O73" s="69"/>
      <c r="P73" s="69"/>
      <c r="Q73" s="69"/>
      <c r="R73" s="200"/>
      <c r="S73" s="200"/>
      <c r="T73" s="199" t="str">
        <f t="shared" si="18"/>
        <v>C.5.01</v>
      </c>
      <c r="U73" s="200"/>
      <c r="V73" s="200"/>
      <c r="W73" s="82">
        <v>1</v>
      </c>
      <c r="X73" s="82">
        <f t="shared" si="19"/>
        <v>1</v>
      </c>
      <c r="Y73" s="193" t="str">
        <f t="shared" si="20"/>
        <v>x 1</v>
      </c>
      <c r="AI73" s="80"/>
    </row>
    <row r="74" spans="1:35" s="75" customFormat="1" ht="105" x14ac:dyDescent="0.25">
      <c r="A74" s="67">
        <v>67</v>
      </c>
      <c r="B74" s="146" t="str">
        <f t="shared" si="14"/>
        <v/>
      </c>
      <c r="C74" s="20">
        <f t="shared" si="15"/>
        <v>3</v>
      </c>
      <c r="D74" s="20"/>
      <c r="E74" s="70" t="str">
        <f t="shared" si="16"/>
        <v/>
      </c>
      <c r="F74" s="147" t="str">
        <f t="shared" si="17"/>
        <v>Lessons learned before, during and after penetration tests have been conducted should be used to help in planning future tests and provide feedback to service providers to help them improve processes. Good practices identified as a result of penetration tests conducted for one environment should be applied to a wide range of other environments, and rolled out in a consistent and effective manner, fixing root causes endemically.</v>
      </c>
      <c r="G74" s="149"/>
      <c r="H74" s="150"/>
      <c r="I74" s="150"/>
      <c r="J74" s="150"/>
      <c r="K74" s="150"/>
      <c r="L74" s="150"/>
      <c r="M74" s="150"/>
      <c r="N74" s="69"/>
      <c r="O74" s="69"/>
      <c r="P74" s="69"/>
      <c r="Q74" s="69"/>
      <c r="R74" s="200"/>
      <c r="S74" s="200"/>
      <c r="T74" s="199" t="str">
        <f t="shared" si="18"/>
        <v/>
      </c>
      <c r="U74" s="200"/>
      <c r="V74" s="200"/>
      <c r="W74" s="82">
        <v>0</v>
      </c>
      <c r="X74" s="82">
        <f t="shared" si="19"/>
        <v>0</v>
      </c>
      <c r="Y74" s="193" t="e">
        <f t="shared" si="20"/>
        <v>#N/A</v>
      </c>
      <c r="AH74" s="69"/>
      <c r="AI74" s="80"/>
    </row>
    <row r="75" spans="1:35" s="75" customFormat="1" ht="30" customHeight="1" x14ac:dyDescent="0.25">
      <c r="A75" s="67">
        <v>68</v>
      </c>
      <c r="B75" s="146" t="str">
        <f t="shared" si="14"/>
        <v>C.6</v>
      </c>
      <c r="C75" s="20">
        <f t="shared" si="15"/>
        <v>2</v>
      </c>
      <c r="D75" s="20"/>
      <c r="E75" s="181" t="str">
        <f t="shared" si="16"/>
        <v>Step 6</v>
      </c>
      <c r="F75" s="184" t="str">
        <f t="shared" si="17"/>
        <v>Create and monitor action plans</v>
      </c>
      <c r="G75" s="184"/>
      <c r="H75" s="184"/>
      <c r="I75" s="184"/>
      <c r="J75" s="184"/>
      <c r="K75" s="184"/>
      <c r="L75" s="184"/>
      <c r="M75" s="184"/>
      <c r="N75" s="184"/>
      <c r="O75" s="184"/>
      <c r="P75" s="184"/>
      <c r="Q75" s="184"/>
      <c r="R75" s="197"/>
      <c r="S75" s="198"/>
      <c r="T75" s="199" t="str">
        <f t="shared" si="18"/>
        <v>Step 6</v>
      </c>
      <c r="U75" s="198"/>
      <c r="V75" s="198"/>
      <c r="W75" s="82">
        <v>0</v>
      </c>
      <c r="X75" s="82">
        <f t="shared" si="19"/>
        <v>0</v>
      </c>
      <c r="Y75" s="193" t="e">
        <f t="shared" si="20"/>
        <v>#N/A</v>
      </c>
      <c r="AI75" s="80"/>
    </row>
    <row r="76" spans="1:35" s="75" customFormat="1" ht="30" x14ac:dyDescent="0.25">
      <c r="A76" s="67">
        <v>69</v>
      </c>
      <c r="B76" s="146" t="str">
        <f t="shared" si="14"/>
        <v>C.6.01</v>
      </c>
      <c r="C76" s="20">
        <f t="shared" si="15"/>
        <v>5</v>
      </c>
      <c r="D76" s="20"/>
      <c r="E76" s="70" t="str">
        <f t="shared" si="16"/>
        <v>C.6.01</v>
      </c>
      <c r="F76" s="71" t="str">
        <f t="shared" si="17"/>
        <v>Are action plans created to help act upon follow-up activities undertaken and used to provide input into the design and scope of future tests?</v>
      </c>
      <c r="G76" s="149"/>
      <c r="H76" s="150"/>
      <c r="I76" s="150"/>
      <c r="J76" s="150"/>
      <c r="K76" s="150"/>
      <c r="L76" s="150"/>
      <c r="M76" s="150"/>
      <c r="N76" s="69"/>
      <c r="O76" s="69"/>
      <c r="P76" s="69"/>
      <c r="Q76" s="69"/>
      <c r="R76" s="200"/>
      <c r="S76" s="200"/>
      <c r="T76" s="199" t="str">
        <f t="shared" si="18"/>
        <v>C.6.01</v>
      </c>
      <c r="U76" s="200"/>
      <c r="V76" s="200"/>
      <c r="W76" s="82">
        <v>1</v>
      </c>
      <c r="X76" s="82">
        <f t="shared" si="19"/>
        <v>1</v>
      </c>
      <c r="Y76" s="193" t="str">
        <f t="shared" si="20"/>
        <v>x 1</v>
      </c>
      <c r="AI76" s="80"/>
    </row>
    <row r="77" spans="1:35" s="75" customFormat="1" ht="135" x14ac:dyDescent="0.25">
      <c r="A77" s="67">
        <v>70</v>
      </c>
      <c r="B77" s="146" t="str">
        <f t="shared" si="14"/>
        <v/>
      </c>
      <c r="C77" s="20">
        <f t="shared" si="15"/>
        <v>3</v>
      </c>
      <c r="D77" s="20"/>
      <c r="E77" s="70" t="str">
        <f t="shared" si="16"/>
        <v/>
      </c>
      <c r="F77" s="147" t="str">
        <f t="shared" si="17"/>
        <v>Actions plans should: be formally developed and approved; outline all relevant actions to be taken, include relevant details of the actions to be taken, implemented effectively and monitored to ensure progress is being made and that risks are being kept within acceptable limits. Results from penetration tests should be used when considering what to test in the future (e.g. infrastructure, web applications, mobile devices), how future tests should be undertaken; and when (e.g. on a regular basis (e.g. annually); after significant technical or business changes are made: or in response to a major security incident).</v>
      </c>
      <c r="G77" s="149"/>
      <c r="H77" s="150"/>
      <c r="I77" s="150"/>
      <c r="J77" s="150"/>
      <c r="K77" s="150"/>
      <c r="L77" s="150"/>
      <c r="M77" s="150"/>
      <c r="N77" s="69"/>
      <c r="O77" s="69"/>
      <c r="P77" s="69"/>
      <c r="Q77" s="69"/>
      <c r="R77" s="200"/>
      <c r="S77" s="200"/>
      <c r="T77" s="199" t="str">
        <f t="shared" si="18"/>
        <v/>
      </c>
      <c r="U77" s="200"/>
      <c r="V77" s="200"/>
      <c r="W77" s="82">
        <v>0</v>
      </c>
      <c r="X77" s="82">
        <f t="shared" si="19"/>
        <v>0</v>
      </c>
      <c r="Y77" s="193" t="e">
        <f t="shared" si="20"/>
        <v>#N/A</v>
      </c>
      <c r="AH77" s="69"/>
      <c r="AI77" s="80"/>
    </row>
  </sheetData>
  <sheetProtection algorithmName="SHA-512" hashValue="Qlq09xx18ZVJC5KrZoiHEnbXiNOKkFu6uHJ899YW/0hRD0JLCqMPczRHTW94r1enbQxaEGzmC4IEPpvBqZQw6A==" saltValue="NPyTWxuFiyfXDfXMOaEcnw==" spinCount="100000" sheet="1" objects="1" scenarios="1"/>
  <sortState xmlns:xlrd2="http://schemas.microsoft.com/office/spreadsheetml/2017/richdata2" ref="A8:AI77">
    <sortCondition ref="A8:A77"/>
  </sortState>
  <mergeCells count="1">
    <mergeCell ref="F2:F5"/>
  </mergeCells>
  <pageMargins left="0.7" right="0.7" top="0.75" bottom="0.75" header="0.3" footer="0.3"/>
  <pageSetup paperSize="9" scale="73" fitToHeight="0"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79921" r:id="rId4" name="Drop Down 1073">
              <controlPr locked="0" defaultSize="0" autoFill="0" autoPict="0">
                <anchor moveWithCells="1">
                  <from>
                    <xdr:col>6</xdr:col>
                    <xdr:colOff>428625</xdr:colOff>
                    <xdr:row>9</xdr:row>
                    <xdr:rowOff>85725</xdr:rowOff>
                  </from>
                  <to>
                    <xdr:col>6</xdr:col>
                    <xdr:colOff>933450</xdr:colOff>
                    <xdr:row>9</xdr:row>
                    <xdr:rowOff>304800</xdr:rowOff>
                  </to>
                </anchor>
              </controlPr>
            </control>
          </mc:Choice>
        </mc:AlternateContent>
        <mc:AlternateContent xmlns:mc="http://schemas.openxmlformats.org/markup-compatibility/2006">
          <mc:Choice Requires="x14">
            <control shapeId="112596" r:id="rId5" name="Drop Down 3028">
              <controlPr locked="0" defaultSize="0" autoFill="0" autoPict="0">
                <anchor moveWithCells="1">
                  <from>
                    <xdr:col>6</xdr:col>
                    <xdr:colOff>428625</xdr:colOff>
                    <xdr:row>12</xdr:row>
                    <xdr:rowOff>85725</xdr:rowOff>
                  </from>
                  <to>
                    <xdr:col>6</xdr:col>
                    <xdr:colOff>933450</xdr:colOff>
                    <xdr:row>12</xdr:row>
                    <xdr:rowOff>304800</xdr:rowOff>
                  </to>
                </anchor>
              </controlPr>
            </control>
          </mc:Choice>
        </mc:AlternateContent>
        <mc:AlternateContent xmlns:mc="http://schemas.openxmlformats.org/markup-compatibility/2006">
          <mc:Choice Requires="x14">
            <control shapeId="112597" r:id="rId6" name="Drop Down 3029">
              <controlPr locked="0" defaultSize="0" autoFill="0" autoPict="0">
                <anchor moveWithCells="1">
                  <from>
                    <xdr:col>6</xdr:col>
                    <xdr:colOff>428625</xdr:colOff>
                    <xdr:row>15</xdr:row>
                    <xdr:rowOff>85725</xdr:rowOff>
                  </from>
                  <to>
                    <xdr:col>6</xdr:col>
                    <xdr:colOff>933450</xdr:colOff>
                    <xdr:row>15</xdr:row>
                    <xdr:rowOff>304800</xdr:rowOff>
                  </to>
                </anchor>
              </controlPr>
            </control>
          </mc:Choice>
        </mc:AlternateContent>
        <mc:AlternateContent xmlns:mc="http://schemas.openxmlformats.org/markup-compatibility/2006">
          <mc:Choice Requires="x14">
            <control shapeId="112598" r:id="rId7" name="Drop Down 3030">
              <controlPr locked="0" defaultSize="0" autoFill="0" autoPict="0">
                <anchor moveWithCells="1">
                  <from>
                    <xdr:col>6</xdr:col>
                    <xdr:colOff>428625</xdr:colOff>
                    <xdr:row>18</xdr:row>
                    <xdr:rowOff>85725</xdr:rowOff>
                  </from>
                  <to>
                    <xdr:col>6</xdr:col>
                    <xdr:colOff>933450</xdr:colOff>
                    <xdr:row>18</xdr:row>
                    <xdr:rowOff>304800</xdr:rowOff>
                  </to>
                </anchor>
              </controlPr>
            </control>
          </mc:Choice>
        </mc:AlternateContent>
        <mc:AlternateContent xmlns:mc="http://schemas.openxmlformats.org/markup-compatibility/2006">
          <mc:Choice Requires="x14">
            <control shapeId="112599" r:id="rId8" name="Drop Down 3031">
              <controlPr locked="0" defaultSize="0" autoFill="0" autoPict="0">
                <anchor moveWithCells="1">
                  <from>
                    <xdr:col>6</xdr:col>
                    <xdr:colOff>428625</xdr:colOff>
                    <xdr:row>21</xdr:row>
                    <xdr:rowOff>85725</xdr:rowOff>
                  </from>
                  <to>
                    <xdr:col>6</xdr:col>
                    <xdr:colOff>933450</xdr:colOff>
                    <xdr:row>21</xdr:row>
                    <xdr:rowOff>304800</xdr:rowOff>
                  </to>
                </anchor>
              </controlPr>
            </control>
          </mc:Choice>
        </mc:AlternateContent>
        <mc:AlternateContent xmlns:mc="http://schemas.openxmlformats.org/markup-compatibility/2006">
          <mc:Choice Requires="x14">
            <control shapeId="112600" r:id="rId9" name="Drop Down 3032">
              <controlPr locked="0" defaultSize="0" autoFill="0" autoPict="0">
                <anchor moveWithCells="1">
                  <from>
                    <xdr:col>6</xdr:col>
                    <xdr:colOff>428625</xdr:colOff>
                    <xdr:row>24</xdr:row>
                    <xdr:rowOff>85725</xdr:rowOff>
                  </from>
                  <to>
                    <xdr:col>6</xdr:col>
                    <xdr:colOff>933450</xdr:colOff>
                    <xdr:row>24</xdr:row>
                    <xdr:rowOff>304800</xdr:rowOff>
                  </to>
                </anchor>
              </controlPr>
            </control>
          </mc:Choice>
        </mc:AlternateContent>
        <mc:AlternateContent xmlns:mc="http://schemas.openxmlformats.org/markup-compatibility/2006">
          <mc:Choice Requires="x14">
            <control shapeId="112601" r:id="rId10" name="Drop Down 3033">
              <controlPr locked="0" defaultSize="0" autoFill="0" autoPict="0">
                <anchor moveWithCells="1">
                  <from>
                    <xdr:col>6</xdr:col>
                    <xdr:colOff>428625</xdr:colOff>
                    <xdr:row>27</xdr:row>
                    <xdr:rowOff>85725</xdr:rowOff>
                  </from>
                  <to>
                    <xdr:col>6</xdr:col>
                    <xdr:colOff>933450</xdr:colOff>
                    <xdr:row>27</xdr:row>
                    <xdr:rowOff>304800</xdr:rowOff>
                  </to>
                </anchor>
              </controlPr>
            </control>
          </mc:Choice>
        </mc:AlternateContent>
        <mc:AlternateContent xmlns:mc="http://schemas.openxmlformats.org/markup-compatibility/2006">
          <mc:Choice Requires="x14">
            <control shapeId="112602" r:id="rId11" name="Drop Down 3034">
              <controlPr locked="0" defaultSize="0" autoFill="0" autoPict="0">
                <anchor moveWithCells="1">
                  <from>
                    <xdr:col>6</xdr:col>
                    <xdr:colOff>428625</xdr:colOff>
                    <xdr:row>31</xdr:row>
                    <xdr:rowOff>85725</xdr:rowOff>
                  </from>
                  <to>
                    <xdr:col>6</xdr:col>
                    <xdr:colOff>933450</xdr:colOff>
                    <xdr:row>31</xdr:row>
                    <xdr:rowOff>304800</xdr:rowOff>
                  </to>
                </anchor>
              </controlPr>
            </control>
          </mc:Choice>
        </mc:AlternateContent>
        <mc:AlternateContent xmlns:mc="http://schemas.openxmlformats.org/markup-compatibility/2006">
          <mc:Choice Requires="x14">
            <control shapeId="112603" r:id="rId12" name="Drop Down 3035">
              <controlPr locked="0" defaultSize="0" autoFill="0" autoPict="0">
                <anchor moveWithCells="1">
                  <from>
                    <xdr:col>6</xdr:col>
                    <xdr:colOff>428625</xdr:colOff>
                    <xdr:row>34</xdr:row>
                    <xdr:rowOff>85725</xdr:rowOff>
                  </from>
                  <to>
                    <xdr:col>6</xdr:col>
                    <xdr:colOff>933450</xdr:colOff>
                    <xdr:row>34</xdr:row>
                    <xdr:rowOff>304800</xdr:rowOff>
                  </to>
                </anchor>
              </controlPr>
            </control>
          </mc:Choice>
        </mc:AlternateContent>
        <mc:AlternateContent xmlns:mc="http://schemas.openxmlformats.org/markup-compatibility/2006">
          <mc:Choice Requires="x14">
            <control shapeId="112604" r:id="rId13" name="Drop Down 3036">
              <controlPr locked="0" defaultSize="0" autoFill="0" autoPict="0">
                <anchor moveWithCells="1">
                  <from>
                    <xdr:col>6</xdr:col>
                    <xdr:colOff>428625</xdr:colOff>
                    <xdr:row>37</xdr:row>
                    <xdr:rowOff>85725</xdr:rowOff>
                  </from>
                  <to>
                    <xdr:col>6</xdr:col>
                    <xdr:colOff>933450</xdr:colOff>
                    <xdr:row>37</xdr:row>
                    <xdr:rowOff>304800</xdr:rowOff>
                  </to>
                </anchor>
              </controlPr>
            </control>
          </mc:Choice>
        </mc:AlternateContent>
        <mc:AlternateContent xmlns:mc="http://schemas.openxmlformats.org/markup-compatibility/2006">
          <mc:Choice Requires="x14">
            <control shapeId="112605" r:id="rId14" name="Drop Down 3037">
              <controlPr locked="0" defaultSize="0" autoFill="0" autoPict="0">
                <anchor moveWithCells="1">
                  <from>
                    <xdr:col>6</xdr:col>
                    <xdr:colOff>428625</xdr:colOff>
                    <xdr:row>40</xdr:row>
                    <xdr:rowOff>85725</xdr:rowOff>
                  </from>
                  <to>
                    <xdr:col>6</xdr:col>
                    <xdr:colOff>933450</xdr:colOff>
                    <xdr:row>40</xdr:row>
                    <xdr:rowOff>304800</xdr:rowOff>
                  </to>
                </anchor>
              </controlPr>
            </control>
          </mc:Choice>
        </mc:AlternateContent>
        <mc:AlternateContent xmlns:mc="http://schemas.openxmlformats.org/markup-compatibility/2006">
          <mc:Choice Requires="x14">
            <control shapeId="112606" r:id="rId15" name="Drop Down 3038">
              <controlPr locked="0" defaultSize="0" autoFill="0" autoPict="0">
                <anchor moveWithCells="1">
                  <from>
                    <xdr:col>6</xdr:col>
                    <xdr:colOff>428625</xdr:colOff>
                    <xdr:row>44</xdr:row>
                    <xdr:rowOff>85725</xdr:rowOff>
                  </from>
                  <to>
                    <xdr:col>6</xdr:col>
                    <xdr:colOff>933450</xdr:colOff>
                    <xdr:row>44</xdr:row>
                    <xdr:rowOff>304800</xdr:rowOff>
                  </to>
                </anchor>
              </controlPr>
            </control>
          </mc:Choice>
        </mc:AlternateContent>
        <mc:AlternateContent xmlns:mc="http://schemas.openxmlformats.org/markup-compatibility/2006">
          <mc:Choice Requires="x14">
            <control shapeId="112607" r:id="rId16" name="Drop Down 3039">
              <controlPr locked="0" defaultSize="0" autoFill="0" autoPict="0">
                <anchor moveWithCells="1">
                  <from>
                    <xdr:col>6</xdr:col>
                    <xdr:colOff>428625</xdr:colOff>
                    <xdr:row>47</xdr:row>
                    <xdr:rowOff>85725</xdr:rowOff>
                  </from>
                  <to>
                    <xdr:col>6</xdr:col>
                    <xdr:colOff>933450</xdr:colOff>
                    <xdr:row>47</xdr:row>
                    <xdr:rowOff>304800</xdr:rowOff>
                  </to>
                </anchor>
              </controlPr>
            </control>
          </mc:Choice>
        </mc:AlternateContent>
        <mc:AlternateContent xmlns:mc="http://schemas.openxmlformats.org/markup-compatibility/2006">
          <mc:Choice Requires="x14">
            <control shapeId="112608" r:id="rId17" name="Drop Down 3040">
              <controlPr locked="0" defaultSize="0" autoFill="0" autoPict="0">
                <anchor moveWithCells="1">
                  <from>
                    <xdr:col>6</xdr:col>
                    <xdr:colOff>428625</xdr:colOff>
                    <xdr:row>50</xdr:row>
                    <xdr:rowOff>85725</xdr:rowOff>
                  </from>
                  <to>
                    <xdr:col>6</xdr:col>
                    <xdr:colOff>933450</xdr:colOff>
                    <xdr:row>50</xdr:row>
                    <xdr:rowOff>304800</xdr:rowOff>
                  </to>
                </anchor>
              </controlPr>
            </control>
          </mc:Choice>
        </mc:AlternateContent>
        <mc:AlternateContent xmlns:mc="http://schemas.openxmlformats.org/markup-compatibility/2006">
          <mc:Choice Requires="x14">
            <control shapeId="112609" r:id="rId18" name="Drop Down 3041">
              <controlPr locked="0" defaultSize="0" autoFill="0" autoPict="0">
                <anchor moveWithCells="1">
                  <from>
                    <xdr:col>6</xdr:col>
                    <xdr:colOff>428625</xdr:colOff>
                    <xdr:row>53</xdr:row>
                    <xdr:rowOff>85725</xdr:rowOff>
                  </from>
                  <to>
                    <xdr:col>6</xdr:col>
                    <xdr:colOff>933450</xdr:colOff>
                    <xdr:row>53</xdr:row>
                    <xdr:rowOff>304800</xdr:rowOff>
                  </to>
                </anchor>
              </controlPr>
            </control>
          </mc:Choice>
        </mc:AlternateContent>
        <mc:AlternateContent xmlns:mc="http://schemas.openxmlformats.org/markup-compatibility/2006">
          <mc:Choice Requires="x14">
            <control shapeId="112610" r:id="rId19" name="Drop Down 3042">
              <controlPr locked="0" defaultSize="0" autoFill="0" autoPict="0">
                <anchor moveWithCells="1">
                  <from>
                    <xdr:col>6</xdr:col>
                    <xdr:colOff>428625</xdr:colOff>
                    <xdr:row>56</xdr:row>
                    <xdr:rowOff>85725</xdr:rowOff>
                  </from>
                  <to>
                    <xdr:col>6</xdr:col>
                    <xdr:colOff>933450</xdr:colOff>
                    <xdr:row>56</xdr:row>
                    <xdr:rowOff>304800</xdr:rowOff>
                  </to>
                </anchor>
              </controlPr>
            </control>
          </mc:Choice>
        </mc:AlternateContent>
        <mc:AlternateContent xmlns:mc="http://schemas.openxmlformats.org/markup-compatibility/2006">
          <mc:Choice Requires="x14">
            <control shapeId="112611" r:id="rId20" name="Drop Down 3043">
              <controlPr locked="0" defaultSize="0" autoFill="0" autoPict="0">
                <anchor moveWithCells="1">
                  <from>
                    <xdr:col>6</xdr:col>
                    <xdr:colOff>428625</xdr:colOff>
                    <xdr:row>60</xdr:row>
                    <xdr:rowOff>85725</xdr:rowOff>
                  </from>
                  <to>
                    <xdr:col>6</xdr:col>
                    <xdr:colOff>933450</xdr:colOff>
                    <xdr:row>60</xdr:row>
                    <xdr:rowOff>304800</xdr:rowOff>
                  </to>
                </anchor>
              </controlPr>
            </control>
          </mc:Choice>
        </mc:AlternateContent>
        <mc:AlternateContent xmlns:mc="http://schemas.openxmlformats.org/markup-compatibility/2006">
          <mc:Choice Requires="x14">
            <control shapeId="112612" r:id="rId21" name="Drop Down 3044">
              <controlPr locked="0" defaultSize="0" autoFill="0" autoPict="0">
                <anchor moveWithCells="1">
                  <from>
                    <xdr:col>6</xdr:col>
                    <xdr:colOff>428625</xdr:colOff>
                    <xdr:row>63</xdr:row>
                    <xdr:rowOff>85725</xdr:rowOff>
                  </from>
                  <to>
                    <xdr:col>6</xdr:col>
                    <xdr:colOff>933450</xdr:colOff>
                    <xdr:row>63</xdr:row>
                    <xdr:rowOff>304800</xdr:rowOff>
                  </to>
                </anchor>
              </controlPr>
            </control>
          </mc:Choice>
        </mc:AlternateContent>
        <mc:AlternateContent xmlns:mc="http://schemas.openxmlformats.org/markup-compatibility/2006">
          <mc:Choice Requires="x14">
            <control shapeId="112613" r:id="rId22" name="Drop Down 3045">
              <controlPr locked="0" defaultSize="0" autoFill="0" autoPict="0">
                <anchor moveWithCells="1">
                  <from>
                    <xdr:col>6</xdr:col>
                    <xdr:colOff>428625</xdr:colOff>
                    <xdr:row>66</xdr:row>
                    <xdr:rowOff>85725</xdr:rowOff>
                  </from>
                  <to>
                    <xdr:col>6</xdr:col>
                    <xdr:colOff>933450</xdr:colOff>
                    <xdr:row>66</xdr:row>
                    <xdr:rowOff>304800</xdr:rowOff>
                  </to>
                </anchor>
              </controlPr>
            </control>
          </mc:Choice>
        </mc:AlternateContent>
        <mc:AlternateContent xmlns:mc="http://schemas.openxmlformats.org/markup-compatibility/2006">
          <mc:Choice Requires="x14">
            <control shapeId="112614" r:id="rId23" name="Drop Down 3046">
              <controlPr locked="0" defaultSize="0" autoFill="0" autoPict="0">
                <anchor moveWithCells="1">
                  <from>
                    <xdr:col>6</xdr:col>
                    <xdr:colOff>428625</xdr:colOff>
                    <xdr:row>69</xdr:row>
                    <xdr:rowOff>85725</xdr:rowOff>
                  </from>
                  <to>
                    <xdr:col>6</xdr:col>
                    <xdr:colOff>933450</xdr:colOff>
                    <xdr:row>69</xdr:row>
                    <xdr:rowOff>304800</xdr:rowOff>
                  </to>
                </anchor>
              </controlPr>
            </control>
          </mc:Choice>
        </mc:AlternateContent>
        <mc:AlternateContent xmlns:mc="http://schemas.openxmlformats.org/markup-compatibility/2006">
          <mc:Choice Requires="x14">
            <control shapeId="112615" r:id="rId24" name="Drop Down 3047">
              <controlPr locked="0" defaultSize="0" autoFill="0" autoPict="0">
                <anchor moveWithCells="1">
                  <from>
                    <xdr:col>6</xdr:col>
                    <xdr:colOff>428625</xdr:colOff>
                    <xdr:row>72</xdr:row>
                    <xdr:rowOff>85725</xdr:rowOff>
                  </from>
                  <to>
                    <xdr:col>6</xdr:col>
                    <xdr:colOff>933450</xdr:colOff>
                    <xdr:row>72</xdr:row>
                    <xdr:rowOff>304800</xdr:rowOff>
                  </to>
                </anchor>
              </controlPr>
            </control>
          </mc:Choice>
        </mc:AlternateContent>
        <mc:AlternateContent xmlns:mc="http://schemas.openxmlformats.org/markup-compatibility/2006">
          <mc:Choice Requires="x14">
            <control shapeId="112616" r:id="rId25" name="Drop Down 3048">
              <controlPr locked="0" defaultSize="0" autoFill="0" autoPict="0">
                <anchor moveWithCells="1">
                  <from>
                    <xdr:col>6</xdr:col>
                    <xdr:colOff>428625</xdr:colOff>
                    <xdr:row>75</xdr:row>
                    <xdr:rowOff>85725</xdr:rowOff>
                  </from>
                  <to>
                    <xdr:col>6</xdr:col>
                    <xdr:colOff>933450</xdr:colOff>
                    <xdr:row>75</xdr:row>
                    <xdr:rowOff>304800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00B050"/>
    <pageSetUpPr autoPageBreaks="0" fitToPage="1"/>
  </sheetPr>
  <dimension ref="A1:AV61"/>
  <sheetViews>
    <sheetView showGridLines="0" zoomScale="80" zoomScaleNormal="80" workbookViewId="0">
      <selection activeCell="E2" sqref="E1:E1048576"/>
    </sheetView>
  </sheetViews>
  <sheetFormatPr defaultColWidth="9.140625" defaultRowHeight="15" x14ac:dyDescent="0.25"/>
  <cols>
    <col min="1" max="1" width="4.140625" style="13" customWidth="1"/>
    <col min="2" max="2" width="3.42578125" style="13" hidden="1" customWidth="1"/>
    <col min="3" max="3" width="15.5703125" style="13" hidden="1" customWidth="1"/>
    <col min="4" max="4" width="51" style="13" customWidth="1"/>
    <col min="5" max="5" width="13.5703125" style="13" hidden="1" customWidth="1"/>
    <col min="6" max="6" width="18.7109375" style="13" customWidth="1"/>
    <col min="7" max="7" width="6.7109375" style="13" customWidth="1"/>
    <col min="8" max="8" width="18.7109375" style="13" customWidth="1"/>
    <col min="9" max="9" width="6.7109375" style="13" customWidth="1"/>
    <col min="10" max="10" width="14.42578125" style="13" customWidth="1"/>
    <col min="11" max="15" width="9.140625" style="13"/>
    <col min="16" max="18" width="9.140625" style="13" customWidth="1"/>
    <col min="19" max="24" width="9.140625" style="13"/>
    <col min="25" max="25" width="9.140625" style="13" customWidth="1"/>
    <col min="26" max="43" width="9.140625" style="13" hidden="1" customWidth="1"/>
    <col min="44" max="44" width="21.7109375" style="13" hidden="1" customWidth="1"/>
    <col min="45" max="48" width="9.140625" style="13" hidden="1" customWidth="1"/>
    <col min="49" max="54" width="0" style="13" hidden="1" customWidth="1"/>
    <col min="55" max="16384" width="9.140625" style="13"/>
  </cols>
  <sheetData>
    <row r="1" spans="1:44" ht="111.6" customHeight="1" x14ac:dyDescent="0.25">
      <c r="D1" s="310" t="str">
        <f>"Aggregated maturity levels"&amp;CHAR(10)&amp;profile_name_of_organisation</f>
        <v xml:space="preserve">Aggregated maturity levels
</v>
      </c>
      <c r="E1" s="310"/>
      <c r="F1" s="310"/>
      <c r="G1" s="310"/>
      <c r="H1" s="310"/>
      <c r="I1" s="310"/>
      <c r="J1" s="115"/>
      <c r="K1" s="115"/>
      <c r="L1" s="115"/>
      <c r="M1" s="115"/>
      <c r="N1" s="115"/>
      <c r="O1" s="115"/>
      <c r="P1" s="115"/>
      <c r="Q1" s="115"/>
      <c r="R1" s="115"/>
      <c r="S1" s="115"/>
      <c r="T1" s="115"/>
      <c r="AE1" s="309" t="s">
        <v>62</v>
      </c>
      <c r="AF1" s="309"/>
      <c r="AG1" s="309"/>
      <c r="AH1" s="309" t="s">
        <v>133</v>
      </c>
      <c r="AI1" s="309"/>
      <c r="AJ1" s="309"/>
      <c r="AK1" s="309" t="s">
        <v>120</v>
      </c>
      <c r="AL1" s="309"/>
      <c r="AM1" s="309"/>
      <c r="AR1" s="49"/>
    </row>
    <row r="2" spans="1:44" s="7" customFormat="1" ht="31.5" x14ac:dyDescent="0.25">
      <c r="B2" s="6"/>
      <c r="C2" s="6"/>
      <c r="D2" s="35"/>
      <c r="E2" s="161"/>
      <c r="F2" s="303" t="s">
        <v>158</v>
      </c>
      <c r="G2" s="304"/>
      <c r="H2" s="303" t="s">
        <v>12</v>
      </c>
      <c r="I2" s="304"/>
      <c r="J2" s="161" t="s">
        <v>135</v>
      </c>
      <c r="K2"/>
      <c r="AC2" s="7" t="s">
        <v>159</v>
      </c>
      <c r="AD2" s="7" t="s">
        <v>13</v>
      </c>
      <c r="AE2" s="109" t="s">
        <v>90</v>
      </c>
      <c r="AF2" s="109" t="s">
        <v>91</v>
      </c>
      <c r="AG2" s="109" t="s">
        <v>92</v>
      </c>
      <c r="AH2" s="109" t="s">
        <v>90</v>
      </c>
      <c r="AI2" s="109" t="s">
        <v>91</v>
      </c>
      <c r="AJ2" s="109" t="s">
        <v>92</v>
      </c>
      <c r="AK2" s="109" t="s">
        <v>90</v>
      </c>
      <c r="AL2" s="109" t="s">
        <v>91</v>
      </c>
      <c r="AM2" s="109" t="s">
        <v>92</v>
      </c>
      <c r="AN2" s="109"/>
      <c r="AO2" s="109"/>
      <c r="AP2" s="109"/>
      <c r="AR2" s="165"/>
    </row>
    <row r="3" spans="1:44" ht="30" hidden="1" customHeight="1" x14ac:dyDescent="0.25">
      <c r="A3" s="7"/>
      <c r="B3" s="22"/>
      <c r="C3" s="22"/>
      <c r="D3" s="128"/>
      <c r="E3" s="132"/>
      <c r="F3" s="26"/>
      <c r="G3" s="27"/>
      <c r="H3" s="23"/>
      <c r="I3" s="25"/>
      <c r="AB3" s="29"/>
      <c r="AC3" s="29"/>
      <c r="AD3" s="31"/>
      <c r="AE3" s="31"/>
      <c r="AF3" s="31"/>
      <c r="AG3" s="31"/>
      <c r="AH3" s="31"/>
      <c r="AI3" s="31"/>
      <c r="AJ3" s="31"/>
      <c r="AK3" s="31"/>
      <c r="AL3" s="31"/>
    </row>
    <row r="4" spans="1:44" ht="30" customHeight="1" x14ac:dyDescent="0.25">
      <c r="A4" s="7"/>
      <c r="B4" s="89" t="str">
        <f>'MMAT Ref'!AB2</f>
        <v>A</v>
      </c>
      <c r="C4" s="89" t="str">
        <f t="shared" ref="C4:C28" ca="1" si="0">VLOOKUP(B4,MMAT_Text_Ref,3,FALSE)</f>
        <v>Preparation</v>
      </c>
      <c r="D4" s="157" t="str">
        <f t="shared" ref="D4:D28" ca="1" si="1">VLOOKUP(B4,MMAT_Text_Ref,2,FALSE)&amp; " - "&amp;C4</f>
        <v>Stage A - Preparation</v>
      </c>
      <c r="E4" s="158"/>
      <c r="F4" s="311" t="str">
        <f ca="1">$AR$4</f>
        <v>Maturity level: Level 1</v>
      </c>
      <c r="G4" s="311"/>
      <c r="H4" s="311"/>
      <c r="I4" s="311"/>
      <c r="J4" s="159"/>
      <c r="K4"/>
      <c r="L4"/>
      <c r="M4"/>
      <c r="P4" s="49" t="b">
        <v>1</v>
      </c>
      <c r="Q4" s="49" t="b">
        <v>1</v>
      </c>
      <c r="R4" s="49" t="b">
        <v>1</v>
      </c>
      <c r="AA4" s="13" t="str">
        <f>'MMAT Ref'!Q2</f>
        <v>A.1</v>
      </c>
      <c r="AB4" s="29" t="str">
        <f t="shared" ref="AB4:AB18" si="2">AA4&amp;" - "&amp;VLOOKUP(AA4,textref,3,FALSE)</f>
        <v>A.1 - Maintain a technical security assurance framework</v>
      </c>
      <c r="AC4" s="30">
        <f t="shared" ref="AC4:AC25" ca="1" si="3">VLOOKUP(AA4,MMAT_Results,2,FALSE)</f>
        <v>1</v>
      </c>
      <c r="AD4" s="31">
        <f t="shared" ref="AD4:AD25" ca="1" si="4">VLOOKUP(AA4,Aggregated_Maturity_Levels,7,FALSE)</f>
        <v>2</v>
      </c>
      <c r="AE4" s="31">
        <f ca="1">IF(LEFT($AB4,1)=AE$2,$AC4,"")</f>
        <v>1</v>
      </c>
      <c r="AF4" s="31"/>
      <c r="AG4" s="31"/>
      <c r="AH4" s="31">
        <f ca="1">IF(LEFT($AB4,1)=AH$2,$AD4,"")</f>
        <v>2</v>
      </c>
      <c r="AI4" s="31"/>
      <c r="AJ4" s="31"/>
      <c r="AK4" s="164">
        <f>J5</f>
        <v>4</v>
      </c>
      <c r="AL4" s="31"/>
      <c r="AM4" s="31"/>
      <c r="AR4" s="13" t="str">
        <f ca="1">"Maturity level: Level "&amp;MIN(G5:G11)</f>
        <v>Maturity level: Level 1</v>
      </c>
    </row>
    <row r="5" spans="1:44" ht="30" customHeight="1" x14ac:dyDescent="0.25">
      <c r="A5" s="7"/>
      <c r="B5" s="8" t="str">
        <f>'MMAT Ref'!AB3</f>
        <v>A.1</v>
      </c>
      <c r="C5" s="8" t="str">
        <f t="shared" ca="1" si="0"/>
        <v>Maintain a technical security assurance framework</v>
      </c>
      <c r="D5" s="129" t="str">
        <f t="shared" ca="1" si="1"/>
        <v>Step 1 - Maintain a technical security assurance framework</v>
      </c>
      <c r="E5" s="162"/>
      <c r="F5" s="26">
        <f t="shared" ref="F5:F11" ca="1" si="5">VLOOKUP(B5,MaturityLevelsTable,3,FALSE)</f>
        <v>1</v>
      </c>
      <c r="G5" s="217">
        <f ca="1">IF(ISERROR(F5),"",F5)</f>
        <v>1</v>
      </c>
      <c r="H5" s="23">
        <f>I5</f>
        <v>2</v>
      </c>
      <c r="I5" s="211">
        <f>Targets!F5</f>
        <v>2</v>
      </c>
      <c r="J5" s="218">
        <v>4</v>
      </c>
      <c r="AA5" s="13" t="str">
        <f>'MMAT Ref'!Q3</f>
        <v>A.2</v>
      </c>
      <c r="AB5" s="29" t="str">
        <f t="shared" si="2"/>
        <v>A.2 - Establish a penetration testing governance structure</v>
      </c>
      <c r="AC5" s="30">
        <f t="shared" ca="1" si="3"/>
        <v>1</v>
      </c>
      <c r="AD5" s="31">
        <f t="shared" ca="1" si="4"/>
        <v>2</v>
      </c>
      <c r="AE5" s="31">
        <f ca="1">IF(LEFT($AB5,1)=AE$2,$AC5,"")</f>
        <v>1</v>
      </c>
      <c r="AF5" s="31"/>
      <c r="AG5" s="31"/>
      <c r="AH5" s="31">
        <f t="shared" ref="AH5:AH10" ca="1" si="6">IF(LEFT($AB5,1)=AH$2,$AD5,"")</f>
        <v>2</v>
      </c>
      <c r="AI5" s="31"/>
      <c r="AJ5" s="31"/>
      <c r="AK5" s="164">
        <f>J6</f>
        <v>3</v>
      </c>
      <c r="AL5" s="31"/>
      <c r="AM5" s="31"/>
      <c r="AR5" s="13" t="str">
        <f ca="1">"Maturity level: Level "&amp;MIN(G13:G21)</f>
        <v>Maturity level: Level 1</v>
      </c>
    </row>
    <row r="6" spans="1:44" ht="30" customHeight="1" x14ac:dyDescent="0.25">
      <c r="B6" s="8" t="str">
        <f>'MMAT Ref'!AB4</f>
        <v>A.2</v>
      </c>
      <c r="C6" s="8" t="str">
        <f t="shared" ca="1" si="0"/>
        <v>Establish a penetration testing governance structure</v>
      </c>
      <c r="D6" s="130" t="str">
        <f t="shared" ca="1" si="1"/>
        <v>Step 2 - Establish a penetration testing governance structure</v>
      </c>
      <c r="E6" s="162"/>
      <c r="F6" s="26">
        <f t="shared" ca="1" si="5"/>
        <v>1</v>
      </c>
      <c r="G6" s="217">
        <f t="shared" ref="G6:G8" ca="1" si="7">IF(ISERROR(F6),"",F6)</f>
        <v>1</v>
      </c>
      <c r="H6" s="23">
        <f t="shared" ref="H6:H8" si="8">I6</f>
        <v>2</v>
      </c>
      <c r="I6" s="211">
        <f>Targets!F6</f>
        <v>2</v>
      </c>
      <c r="J6" s="218">
        <v>3</v>
      </c>
      <c r="AA6" s="13" t="str">
        <f>'MMAT Ref'!Q4</f>
        <v>A.3</v>
      </c>
      <c r="AB6" s="29" t="str">
        <f t="shared" si="2"/>
        <v>A.3 - Evaluate drivers for conducting penetration tests</v>
      </c>
      <c r="AC6" s="30">
        <f t="shared" ca="1" si="3"/>
        <v>1</v>
      </c>
      <c r="AD6" s="31">
        <f t="shared" ca="1" si="4"/>
        <v>2</v>
      </c>
      <c r="AE6" s="31">
        <f ca="1">IF(LEFT($AB6,1)=AE$2,$AC6,"")</f>
        <v>1</v>
      </c>
      <c r="AF6" s="31"/>
      <c r="AG6" s="31"/>
      <c r="AH6" s="31">
        <f t="shared" ca="1" si="6"/>
        <v>2</v>
      </c>
      <c r="AI6" s="31"/>
      <c r="AJ6" s="31"/>
      <c r="AK6" s="164">
        <f>J7</f>
        <v>2</v>
      </c>
      <c r="AL6" s="31"/>
      <c r="AM6" s="31"/>
      <c r="AR6" s="13" t="str">
        <f ca="1">"Maturity level: Level "&amp;MIN(G23:G28)</f>
        <v>Maturity level: Level 1</v>
      </c>
    </row>
    <row r="7" spans="1:44" ht="30" customHeight="1" x14ac:dyDescent="0.25">
      <c r="B7" s="8" t="str">
        <f>'MMAT Ref'!AB5</f>
        <v>A.3</v>
      </c>
      <c r="C7" s="8" t="str">
        <f t="shared" ca="1" si="0"/>
        <v>Evaluate drivers for conducting penetration tests</v>
      </c>
      <c r="D7" s="130" t="str">
        <f t="shared" ca="1" si="1"/>
        <v>Step 3 - Evaluate drivers for conducting penetration tests</v>
      </c>
      <c r="E7" s="162"/>
      <c r="F7" s="26">
        <f t="shared" ca="1" si="5"/>
        <v>1</v>
      </c>
      <c r="G7" s="217">
        <f t="shared" ca="1" si="7"/>
        <v>1</v>
      </c>
      <c r="H7" s="23">
        <f t="shared" si="8"/>
        <v>2</v>
      </c>
      <c r="I7" s="211">
        <f>Targets!F7</f>
        <v>2</v>
      </c>
      <c r="J7" s="218">
        <v>2</v>
      </c>
      <c r="AA7" s="13" t="str">
        <f>'MMAT Ref'!Q5</f>
        <v>A.4</v>
      </c>
      <c r="AB7" s="29" t="str">
        <f t="shared" si="2"/>
        <v>A.4 - Identify target environments</v>
      </c>
      <c r="AC7" s="30">
        <f t="shared" ca="1" si="3"/>
        <v>1</v>
      </c>
      <c r="AD7" s="31">
        <f t="shared" ca="1" si="4"/>
        <v>2</v>
      </c>
      <c r="AE7" s="31">
        <f ca="1">IF(LEFT($AB7,1)=AE$2,$AC7,"")</f>
        <v>1</v>
      </c>
      <c r="AF7" s="31"/>
      <c r="AG7" s="31"/>
      <c r="AH7" s="31">
        <f t="shared" ca="1" si="6"/>
        <v>2</v>
      </c>
      <c r="AI7" s="31"/>
      <c r="AJ7" s="31"/>
      <c r="AK7" s="164">
        <f>J8</f>
        <v>3</v>
      </c>
      <c r="AL7" s="31"/>
      <c r="AM7" s="31"/>
    </row>
    <row r="8" spans="1:44" ht="30" customHeight="1" x14ac:dyDescent="0.25">
      <c r="B8" s="8" t="str">
        <f>'MMAT Ref'!AB6</f>
        <v>A.4</v>
      </c>
      <c r="C8" s="8" t="str">
        <f t="shared" ca="1" si="0"/>
        <v>Identify target environments</v>
      </c>
      <c r="D8" s="131" t="str">
        <f t="shared" ca="1" si="1"/>
        <v>Step 4 - Identify target environments</v>
      </c>
      <c r="E8" s="178"/>
      <c r="F8" s="26">
        <f t="shared" ca="1" si="5"/>
        <v>1</v>
      </c>
      <c r="G8" s="217">
        <f t="shared" ca="1" si="7"/>
        <v>1</v>
      </c>
      <c r="H8" s="23">
        <f t="shared" si="8"/>
        <v>2</v>
      </c>
      <c r="I8" s="211">
        <f>Targets!F8</f>
        <v>2</v>
      </c>
      <c r="J8" s="218">
        <v>3</v>
      </c>
      <c r="AA8" s="13" t="str">
        <f>'MMAT Ref'!Q6</f>
        <v>A.5</v>
      </c>
      <c r="AB8" s="29" t="str">
        <f t="shared" si="2"/>
        <v>A.5 - Define the purpose of the penetration tests</v>
      </c>
      <c r="AC8" s="30">
        <f t="shared" ca="1" si="3"/>
        <v>1</v>
      </c>
      <c r="AD8" s="31">
        <f t="shared" ca="1" si="4"/>
        <v>2</v>
      </c>
      <c r="AE8" s="31">
        <f t="shared" ref="AE8:AE10" ca="1" si="9">IF(LEFT($AB8,1)=AE$2,$AC8,"")</f>
        <v>1</v>
      </c>
      <c r="AF8" s="31"/>
      <c r="AG8" s="31"/>
      <c r="AH8" s="31">
        <f t="shared" ca="1" si="6"/>
        <v>2</v>
      </c>
      <c r="AI8" s="31"/>
      <c r="AJ8" s="31"/>
      <c r="AK8" s="164">
        <f t="shared" ref="AK8:AK10" si="10">J9</f>
        <v>2</v>
      </c>
      <c r="AL8" s="164"/>
      <c r="AM8" s="31"/>
    </row>
    <row r="9" spans="1:44" ht="30" customHeight="1" x14ac:dyDescent="0.25">
      <c r="B9" s="8" t="str">
        <f>'MMAT Ref'!AB7</f>
        <v>A.5</v>
      </c>
      <c r="C9" s="8" t="str">
        <f t="shared" ca="1" si="0"/>
        <v>Define the purpose of the penetration tests</v>
      </c>
      <c r="D9" s="131" t="str">
        <f t="shared" ca="1" si="1"/>
        <v>Step 5 - Define the purpose of the penetration tests</v>
      </c>
      <c r="E9" s="178"/>
      <c r="F9" s="26">
        <f t="shared" ca="1" si="5"/>
        <v>1</v>
      </c>
      <c r="G9" s="217">
        <f t="shared" ref="G9" ca="1" si="11">IF(ISERROR(F9),"",F9)</f>
        <v>1</v>
      </c>
      <c r="H9" s="23">
        <f t="shared" ref="H9" si="12">I9</f>
        <v>2</v>
      </c>
      <c r="I9" s="211">
        <f>Targets!F9</f>
        <v>2</v>
      </c>
      <c r="J9" s="218">
        <v>2</v>
      </c>
      <c r="AA9" s="13" t="str">
        <f>'MMAT Ref'!Q7</f>
        <v>A.6</v>
      </c>
      <c r="AB9" s="29" t="str">
        <f t="shared" si="2"/>
        <v>A.6 - Produce requirements specifications</v>
      </c>
      <c r="AC9" s="30">
        <f t="shared" ca="1" si="3"/>
        <v>1</v>
      </c>
      <c r="AD9" s="31">
        <f t="shared" ca="1" si="4"/>
        <v>2</v>
      </c>
      <c r="AE9" s="31">
        <f t="shared" ca="1" si="9"/>
        <v>1</v>
      </c>
      <c r="AF9" s="31"/>
      <c r="AG9" s="31"/>
      <c r="AH9" s="31">
        <f t="shared" ca="1" si="6"/>
        <v>2</v>
      </c>
      <c r="AI9" s="31"/>
      <c r="AJ9" s="31"/>
      <c r="AK9" s="164">
        <f t="shared" si="10"/>
        <v>4</v>
      </c>
      <c r="AL9" s="164"/>
      <c r="AM9" s="31"/>
    </row>
    <row r="10" spans="1:44" ht="30" customHeight="1" x14ac:dyDescent="0.25">
      <c r="B10" s="8" t="str">
        <f>'MMAT Ref'!AB8</f>
        <v>A.6</v>
      </c>
      <c r="C10" s="8" t="str">
        <f t="shared" ca="1" si="0"/>
        <v>Produce requirements specifications</v>
      </c>
      <c r="D10" s="8" t="str">
        <f t="shared" ca="1" si="1"/>
        <v>Step 6 - Produce requirements specifications</v>
      </c>
      <c r="E10" s="162"/>
      <c r="F10" s="26">
        <f t="shared" ca="1" si="5"/>
        <v>1</v>
      </c>
      <c r="G10" s="217">
        <f t="shared" ref="G10:G15" ca="1" si="13">IF(ISERROR(F10),"",F10)</f>
        <v>1</v>
      </c>
      <c r="H10" s="23">
        <f t="shared" ref="H10:H15" si="14">I10</f>
        <v>2</v>
      </c>
      <c r="I10" s="211">
        <f>Targets!F10</f>
        <v>2</v>
      </c>
      <c r="J10" s="218">
        <v>4</v>
      </c>
      <c r="AA10" s="13" t="str">
        <f>'MMAT Ref'!Q8</f>
        <v>A.7</v>
      </c>
      <c r="AB10" s="29" t="str">
        <f t="shared" si="2"/>
        <v>A.7 - Select suitable suppliers</v>
      </c>
      <c r="AC10" s="30">
        <f t="shared" ca="1" si="3"/>
        <v>1</v>
      </c>
      <c r="AD10" s="31">
        <f t="shared" ca="1" si="4"/>
        <v>2</v>
      </c>
      <c r="AE10" s="31">
        <f t="shared" ca="1" si="9"/>
        <v>1</v>
      </c>
      <c r="AF10" s="31"/>
      <c r="AG10" s="31"/>
      <c r="AH10" s="31">
        <f t="shared" ca="1" si="6"/>
        <v>2</v>
      </c>
      <c r="AI10" s="31"/>
      <c r="AJ10" s="31"/>
      <c r="AK10" s="164">
        <f t="shared" si="10"/>
        <v>3</v>
      </c>
      <c r="AL10" s="164"/>
      <c r="AM10" s="31"/>
    </row>
    <row r="11" spans="1:44" ht="30" customHeight="1" x14ac:dyDescent="0.25">
      <c r="B11" s="8" t="str">
        <f>'MMAT Ref'!AB9</f>
        <v>A.7</v>
      </c>
      <c r="C11" s="8" t="str">
        <f t="shared" ca="1" si="0"/>
        <v>Select suitable suppliers</v>
      </c>
      <c r="D11" s="129" t="str">
        <f t="shared" ca="1" si="1"/>
        <v>Step 7 - Select suitable suppliers</v>
      </c>
      <c r="E11" s="162"/>
      <c r="F11" s="163">
        <f t="shared" ca="1" si="5"/>
        <v>1</v>
      </c>
      <c r="G11" s="217">
        <f t="shared" ca="1" si="13"/>
        <v>1</v>
      </c>
      <c r="H11" s="23">
        <f t="shared" si="14"/>
        <v>2</v>
      </c>
      <c r="I11" s="211">
        <f>Targets!F11</f>
        <v>2</v>
      </c>
      <c r="J11" s="218">
        <v>3</v>
      </c>
      <c r="AA11" s="13" t="str">
        <f>'MMAT Ref'!Q9</f>
        <v>B.1</v>
      </c>
      <c r="AB11" s="29" t="str">
        <f t="shared" si="2"/>
        <v>B.1 - Agree testing style and type</v>
      </c>
      <c r="AC11" s="30">
        <f t="shared" ca="1" si="3"/>
        <v>1</v>
      </c>
      <c r="AD11" s="31">
        <f t="shared" ca="1" si="4"/>
        <v>2</v>
      </c>
      <c r="AE11" s="31"/>
      <c r="AF11" s="31">
        <f ca="1">IF(LEFT($AB11,1)=AF$2,$AC11,"")</f>
        <v>1</v>
      </c>
      <c r="AG11" s="31"/>
      <c r="AH11" s="31"/>
      <c r="AI11" s="31">
        <f t="shared" ref="AI11:AJ24" ca="1" si="15">IF(LEFT($AB11,1)=AI$2,$AD11,"")</f>
        <v>2</v>
      </c>
      <c r="AJ11" s="31"/>
      <c r="AK11" s="31"/>
      <c r="AL11" s="164">
        <f t="shared" ref="AL11:AL19" si="16">J13</f>
        <v>4</v>
      </c>
      <c r="AM11" s="31"/>
    </row>
    <row r="12" spans="1:44" ht="30" customHeight="1" x14ac:dyDescent="0.25">
      <c r="B12" s="89" t="str">
        <f>'MMAT Ref'!AB10</f>
        <v>B</v>
      </c>
      <c r="C12" s="89" t="str">
        <f t="shared" ca="1" si="0"/>
        <v>Testing</v>
      </c>
      <c r="D12" s="157" t="str">
        <f t="shared" ca="1" si="1"/>
        <v>Stage B - Testing</v>
      </c>
      <c r="E12" s="158"/>
      <c r="F12" s="311" t="str">
        <f ca="1">$AR$5</f>
        <v>Maturity level: Level 1</v>
      </c>
      <c r="G12" s="311"/>
      <c r="H12" s="311"/>
      <c r="I12" s="311"/>
      <c r="J12" s="179"/>
      <c r="AA12" s="13" t="str">
        <f>'MMAT Ref'!Q10</f>
        <v>B.2</v>
      </c>
      <c r="AB12" s="29" t="str">
        <f t="shared" si="2"/>
        <v>B.2 - Identify testing constraints</v>
      </c>
      <c r="AC12" s="30">
        <f t="shared" ca="1" si="3"/>
        <v>1</v>
      </c>
      <c r="AD12" s="31">
        <f t="shared" ca="1" si="4"/>
        <v>2</v>
      </c>
      <c r="AE12" s="31"/>
      <c r="AF12" s="31">
        <f ca="1">IF(LEFT($AB12,1)=AF$2,$AC12,"")</f>
        <v>1</v>
      </c>
      <c r="AG12" s="31"/>
      <c r="AH12" s="31"/>
      <c r="AI12" s="31">
        <f t="shared" ca="1" si="15"/>
        <v>2</v>
      </c>
      <c r="AJ12" s="31"/>
      <c r="AK12" s="31"/>
      <c r="AL12" s="164">
        <f t="shared" si="16"/>
        <v>4</v>
      </c>
      <c r="AM12" s="31"/>
    </row>
    <row r="13" spans="1:44" ht="30" customHeight="1" x14ac:dyDescent="0.25">
      <c r="B13" s="8" t="str">
        <f>'MMAT Ref'!AB11</f>
        <v>B.1</v>
      </c>
      <c r="C13" s="8" t="str">
        <f t="shared" ca="1" si="0"/>
        <v>Agree testing style and type</v>
      </c>
      <c r="D13" s="129" t="str">
        <f t="shared" ca="1" si="1"/>
        <v>Step 1 - Agree testing style and type</v>
      </c>
      <c r="E13" s="162"/>
      <c r="F13" s="26">
        <f t="shared" ref="F13:F21" ca="1" si="17">VLOOKUP(B13,MaturityLevelsTable,3,FALSE)</f>
        <v>1</v>
      </c>
      <c r="G13" s="217">
        <f t="shared" ca="1" si="13"/>
        <v>1</v>
      </c>
      <c r="H13" s="23">
        <f t="shared" si="14"/>
        <v>2</v>
      </c>
      <c r="I13" s="211">
        <f>Targets!F13</f>
        <v>2</v>
      </c>
      <c r="J13" s="218">
        <v>4</v>
      </c>
      <c r="AA13" s="13" t="str">
        <f>'MMAT Ref'!Q11</f>
        <v>B.3</v>
      </c>
      <c r="AB13" s="29" t="str">
        <f t="shared" si="2"/>
        <v>B.3 - Produce scope statements</v>
      </c>
      <c r="AC13" s="30">
        <f t="shared" ca="1" si="3"/>
        <v>1</v>
      </c>
      <c r="AD13" s="31">
        <f t="shared" ca="1" si="4"/>
        <v>2</v>
      </c>
      <c r="AE13" s="31"/>
      <c r="AF13" s="31">
        <f t="shared" ref="AF13:AG25" ca="1" si="18">IF(LEFT($AB13,1)=AF$2,$AC13,"")</f>
        <v>1</v>
      </c>
      <c r="AG13" s="31"/>
      <c r="AH13" s="31"/>
      <c r="AI13" s="31">
        <f t="shared" ca="1" si="15"/>
        <v>2</v>
      </c>
      <c r="AJ13" s="31"/>
      <c r="AK13" s="31"/>
      <c r="AL13" s="164">
        <f t="shared" si="16"/>
        <v>4</v>
      </c>
      <c r="AM13" s="164"/>
    </row>
    <row r="14" spans="1:44" ht="30" customHeight="1" x14ac:dyDescent="0.25">
      <c r="B14" s="8" t="str">
        <f>'MMAT Ref'!AB12</f>
        <v>B.2</v>
      </c>
      <c r="C14" s="8" t="str">
        <f t="shared" ca="1" si="0"/>
        <v>Identify testing constraints</v>
      </c>
      <c r="D14" s="8" t="str">
        <f t="shared" ca="1" si="1"/>
        <v>Step 2 - Identify testing constraints</v>
      </c>
      <c r="E14" s="178"/>
      <c r="F14" s="26">
        <f t="shared" ca="1" si="17"/>
        <v>1</v>
      </c>
      <c r="G14" s="217">
        <f t="shared" ca="1" si="13"/>
        <v>1</v>
      </c>
      <c r="H14" s="23">
        <f t="shared" si="14"/>
        <v>2</v>
      </c>
      <c r="I14" s="211">
        <f>Targets!F14</f>
        <v>2</v>
      </c>
      <c r="J14" s="218">
        <v>4</v>
      </c>
      <c r="AA14" s="13" t="str">
        <f>'MMAT Ref'!Q12</f>
        <v>B.4</v>
      </c>
      <c r="AB14" s="29" t="str">
        <f t="shared" si="2"/>
        <v>B.4 - Establish a management assurance framework</v>
      </c>
      <c r="AC14" s="30">
        <f t="shared" ca="1" si="3"/>
        <v>1</v>
      </c>
      <c r="AD14" s="31">
        <f t="shared" ca="1" si="4"/>
        <v>2</v>
      </c>
      <c r="AE14" s="31"/>
      <c r="AF14" s="31">
        <f t="shared" ca="1" si="18"/>
        <v>1</v>
      </c>
      <c r="AG14" s="31"/>
      <c r="AH14" s="31"/>
      <c r="AI14" s="31">
        <f t="shared" ca="1" si="15"/>
        <v>2</v>
      </c>
      <c r="AJ14" s="31"/>
      <c r="AK14" s="31"/>
      <c r="AL14" s="164">
        <f t="shared" si="16"/>
        <v>3</v>
      </c>
      <c r="AM14" s="164"/>
    </row>
    <row r="15" spans="1:44" ht="30" customHeight="1" x14ac:dyDescent="0.25">
      <c r="B15" s="8" t="str">
        <f>'MMAT Ref'!AB13</f>
        <v>B.3</v>
      </c>
      <c r="C15" s="8" t="str">
        <f t="shared" ca="1" si="0"/>
        <v>Produce scope statements</v>
      </c>
      <c r="D15" s="8" t="str">
        <f t="shared" ca="1" si="1"/>
        <v>Step 3 - Produce scope statements</v>
      </c>
      <c r="E15" s="162"/>
      <c r="F15" s="26">
        <f t="shared" ca="1" si="17"/>
        <v>1</v>
      </c>
      <c r="G15" s="217">
        <f t="shared" ca="1" si="13"/>
        <v>1</v>
      </c>
      <c r="H15" s="23">
        <f t="shared" si="14"/>
        <v>2</v>
      </c>
      <c r="I15" s="211">
        <f>Targets!F15</f>
        <v>2</v>
      </c>
      <c r="J15" s="218">
        <v>4</v>
      </c>
      <c r="AA15" s="13" t="str">
        <f>'MMAT Ref'!Q13</f>
        <v>B.5</v>
      </c>
      <c r="AB15" s="29" t="str">
        <f t="shared" si="2"/>
        <v>B.5 - Implement management control processes</v>
      </c>
      <c r="AC15" s="30">
        <f t="shared" ca="1" si="3"/>
        <v>1</v>
      </c>
      <c r="AD15" s="31">
        <f t="shared" ca="1" si="4"/>
        <v>2</v>
      </c>
      <c r="AE15" s="31"/>
      <c r="AF15" s="31">
        <f t="shared" ca="1" si="18"/>
        <v>1</v>
      </c>
      <c r="AG15" s="31"/>
      <c r="AH15" s="31"/>
      <c r="AI15" s="31">
        <f t="shared" ca="1" si="15"/>
        <v>2</v>
      </c>
      <c r="AJ15" s="31"/>
      <c r="AK15" s="31"/>
      <c r="AL15" s="164">
        <f t="shared" si="16"/>
        <v>3</v>
      </c>
      <c r="AM15" s="164"/>
    </row>
    <row r="16" spans="1:44" ht="30" customHeight="1" x14ac:dyDescent="0.25">
      <c r="B16" s="8" t="str">
        <f>'MMAT Ref'!AB14</f>
        <v>B.4</v>
      </c>
      <c r="C16" s="8" t="str">
        <f t="shared" ca="1" si="0"/>
        <v>Establish a management assurance framework</v>
      </c>
      <c r="D16" s="129" t="str">
        <f t="shared" ca="1" si="1"/>
        <v>Step 4 - Establish a management assurance framework</v>
      </c>
      <c r="E16" s="162"/>
      <c r="F16" s="26">
        <f t="shared" ca="1" si="17"/>
        <v>1</v>
      </c>
      <c r="G16" s="217">
        <f t="shared" ref="G16:G21" ca="1" si="19">IF(ISERROR(F16),"",F16)</f>
        <v>1</v>
      </c>
      <c r="H16" s="23">
        <f t="shared" ref="H16:H21" si="20">I16</f>
        <v>2</v>
      </c>
      <c r="I16" s="211">
        <f>Targets!F16</f>
        <v>2</v>
      </c>
      <c r="J16" s="218">
        <v>3</v>
      </c>
      <c r="AA16" s="13" t="str">
        <f>'MMAT Ref'!Q14</f>
        <v>B.6</v>
      </c>
      <c r="AB16" s="29" t="str">
        <f t="shared" si="2"/>
        <v>B.6 - Use an effective testing methodology</v>
      </c>
      <c r="AC16" s="30">
        <f t="shared" ca="1" si="3"/>
        <v>1</v>
      </c>
      <c r="AD16" s="31">
        <f t="shared" ca="1" si="4"/>
        <v>2</v>
      </c>
      <c r="AE16" s="31"/>
      <c r="AF16" s="31">
        <f t="shared" ca="1" si="18"/>
        <v>1</v>
      </c>
      <c r="AG16" s="31"/>
      <c r="AH16" s="31"/>
      <c r="AI16" s="31">
        <f t="shared" ca="1" si="15"/>
        <v>2</v>
      </c>
      <c r="AJ16" s="31"/>
      <c r="AK16" s="31"/>
      <c r="AL16" s="164">
        <f t="shared" si="16"/>
        <v>4</v>
      </c>
      <c r="AM16" s="164"/>
    </row>
    <row r="17" spans="2:39" ht="30" customHeight="1" x14ac:dyDescent="0.25">
      <c r="B17" s="8" t="str">
        <f>'MMAT Ref'!AB15</f>
        <v>B.5</v>
      </c>
      <c r="C17" s="8" t="str">
        <f t="shared" ca="1" si="0"/>
        <v>Implement management control processes</v>
      </c>
      <c r="D17" s="129" t="str">
        <f t="shared" ca="1" si="1"/>
        <v>Step 5 - Implement management control processes</v>
      </c>
      <c r="E17" s="162"/>
      <c r="F17" s="26">
        <f t="shared" ca="1" si="17"/>
        <v>1</v>
      </c>
      <c r="G17" s="217">
        <f t="shared" ca="1" si="19"/>
        <v>1</v>
      </c>
      <c r="H17" s="23">
        <f t="shared" si="20"/>
        <v>2</v>
      </c>
      <c r="I17" s="211">
        <f>Targets!F17</f>
        <v>2</v>
      </c>
      <c r="J17" s="218">
        <v>3</v>
      </c>
      <c r="AA17" s="13" t="str">
        <f>'MMAT Ref'!Q15</f>
        <v>B.7</v>
      </c>
      <c r="AB17" s="29" t="str">
        <f t="shared" si="2"/>
        <v>B.7 - Conduct sufficient research and planning</v>
      </c>
      <c r="AC17" s="30">
        <f t="shared" ca="1" si="3"/>
        <v>1</v>
      </c>
      <c r="AD17" s="31">
        <f t="shared" ca="1" si="4"/>
        <v>2</v>
      </c>
      <c r="AE17" s="31"/>
      <c r="AF17" s="31">
        <f t="shared" ca="1" si="18"/>
        <v>1</v>
      </c>
      <c r="AG17" s="31"/>
      <c r="AH17" s="31"/>
      <c r="AI17" s="31">
        <f t="shared" ca="1" si="15"/>
        <v>2</v>
      </c>
      <c r="AJ17" s="31"/>
      <c r="AK17" s="31"/>
      <c r="AL17" s="164">
        <f t="shared" si="16"/>
        <v>5</v>
      </c>
      <c r="AM17" s="164"/>
    </row>
    <row r="18" spans="2:39" ht="30" customHeight="1" x14ac:dyDescent="0.25">
      <c r="B18" s="8" t="str">
        <f>'MMAT Ref'!AB16</f>
        <v>B.6</v>
      </c>
      <c r="C18" s="8" t="str">
        <f t="shared" ca="1" si="0"/>
        <v>Use an effective testing methodology</v>
      </c>
      <c r="D18" s="129" t="str">
        <f t="shared" ca="1" si="1"/>
        <v>Step 6 - Use an effective testing methodology</v>
      </c>
      <c r="E18" s="162"/>
      <c r="F18" s="26">
        <f t="shared" ca="1" si="17"/>
        <v>1</v>
      </c>
      <c r="G18" s="217">
        <f t="shared" ca="1" si="19"/>
        <v>1</v>
      </c>
      <c r="H18" s="23">
        <f t="shared" si="20"/>
        <v>2</v>
      </c>
      <c r="I18" s="211">
        <f>Targets!F18</f>
        <v>2</v>
      </c>
      <c r="J18" s="218">
        <v>4</v>
      </c>
      <c r="AA18" s="13" t="str">
        <f>'MMAT Ref'!Q16</f>
        <v>B.8</v>
      </c>
      <c r="AB18" s="30" t="str">
        <f t="shared" si="2"/>
        <v>B.8 - Identify and exploit vulnerabilities</v>
      </c>
      <c r="AC18" s="30">
        <f t="shared" ca="1" si="3"/>
        <v>1</v>
      </c>
      <c r="AD18" s="31">
        <f t="shared" ca="1" si="4"/>
        <v>2</v>
      </c>
      <c r="AE18" s="28"/>
      <c r="AF18" s="31">
        <f t="shared" ca="1" si="18"/>
        <v>1</v>
      </c>
      <c r="AG18" s="31"/>
      <c r="AH18" s="28"/>
      <c r="AI18" s="31">
        <f t="shared" ca="1" si="15"/>
        <v>2</v>
      </c>
      <c r="AJ18" s="31"/>
      <c r="AK18" s="28"/>
      <c r="AL18" s="164">
        <f t="shared" si="16"/>
        <v>4</v>
      </c>
      <c r="AM18" s="164"/>
    </row>
    <row r="19" spans="2:39" ht="30" customHeight="1" x14ac:dyDescent="0.25">
      <c r="B19" s="8" t="str">
        <f>'MMAT Ref'!AB17</f>
        <v>B.7</v>
      </c>
      <c r="C19" s="8" t="str">
        <f t="shared" ca="1" si="0"/>
        <v>Conduct sufficient research and planning</v>
      </c>
      <c r="D19" s="129" t="str">
        <f t="shared" ca="1" si="1"/>
        <v>Step 7 - Conduct sufficient research and planning</v>
      </c>
      <c r="E19" s="162"/>
      <c r="F19" s="26">
        <f t="shared" ca="1" si="17"/>
        <v>1</v>
      </c>
      <c r="G19" s="217">
        <f t="shared" ca="1" si="19"/>
        <v>1</v>
      </c>
      <c r="H19" s="23">
        <f t="shared" si="20"/>
        <v>2</v>
      </c>
      <c r="I19" s="211">
        <f>Targets!F19</f>
        <v>2</v>
      </c>
      <c r="J19" s="218">
        <v>5</v>
      </c>
      <c r="AA19" s="13" t="str">
        <f>'MMAT Ref'!Q17</f>
        <v>B.9</v>
      </c>
      <c r="AB19" s="30" t="str">
        <f t="shared" ref="AB19:AB25" si="21">AA19&amp;" - "&amp;VLOOKUP(AA19,textref,3,FALSE)</f>
        <v>B.9 - Report key findings</v>
      </c>
      <c r="AC19" s="30">
        <f t="shared" ca="1" si="3"/>
        <v>1</v>
      </c>
      <c r="AD19" s="31">
        <f t="shared" ca="1" si="4"/>
        <v>2</v>
      </c>
      <c r="AE19" s="28"/>
      <c r="AF19" s="31">
        <f t="shared" ca="1" si="18"/>
        <v>1</v>
      </c>
      <c r="AG19" s="28"/>
      <c r="AH19" s="28"/>
      <c r="AI19" s="31">
        <f t="shared" ca="1" si="15"/>
        <v>2</v>
      </c>
      <c r="AJ19" s="28"/>
      <c r="AK19" s="28"/>
      <c r="AL19" s="164">
        <f t="shared" si="16"/>
        <v>4</v>
      </c>
      <c r="AM19" s="28"/>
    </row>
    <row r="20" spans="2:39" ht="30" customHeight="1" x14ac:dyDescent="0.25">
      <c r="B20" s="8" t="str">
        <f>'MMAT Ref'!AB18</f>
        <v>B.8</v>
      </c>
      <c r="C20" s="8" t="str">
        <f t="shared" ca="1" si="0"/>
        <v>Identify and exploit vulnerabilities</v>
      </c>
      <c r="D20" s="129" t="str">
        <f t="shared" ca="1" si="1"/>
        <v>Step 8 - Identify and exploit vulnerabilities</v>
      </c>
      <c r="E20" s="162"/>
      <c r="F20" s="26">
        <f t="shared" ca="1" si="17"/>
        <v>1</v>
      </c>
      <c r="G20" s="217">
        <f t="shared" ca="1" si="19"/>
        <v>1</v>
      </c>
      <c r="H20" s="23">
        <f t="shared" si="20"/>
        <v>2</v>
      </c>
      <c r="I20" s="211">
        <f>Targets!F20</f>
        <v>2</v>
      </c>
      <c r="J20" s="218">
        <v>4</v>
      </c>
      <c r="AA20" s="13" t="str">
        <f>'MMAT Ref'!Q18</f>
        <v>C.1</v>
      </c>
      <c r="AB20" s="30" t="str">
        <f t="shared" si="21"/>
        <v>C.1 - Remediate weaknesses</v>
      </c>
      <c r="AC20" s="30">
        <f t="shared" ca="1" si="3"/>
        <v>1</v>
      </c>
      <c r="AD20" s="31">
        <f t="shared" ca="1" si="4"/>
        <v>2</v>
      </c>
      <c r="AE20" s="28"/>
      <c r="AF20" s="28"/>
      <c r="AG20" s="31">
        <f t="shared" ca="1" si="18"/>
        <v>1</v>
      </c>
      <c r="AH20" s="28"/>
      <c r="AI20" s="28"/>
      <c r="AJ20" s="31">
        <f t="shared" ca="1" si="15"/>
        <v>2</v>
      </c>
      <c r="AK20" s="28"/>
      <c r="AL20" s="28"/>
      <c r="AM20" s="164">
        <f>J23</f>
        <v>2</v>
      </c>
    </row>
    <row r="21" spans="2:39" ht="30" customHeight="1" x14ac:dyDescent="0.25">
      <c r="B21" s="8" t="str">
        <f>'MMAT Ref'!AB19</f>
        <v>B.9</v>
      </c>
      <c r="C21" s="8" t="str">
        <f t="shared" ca="1" si="0"/>
        <v>Report key findings</v>
      </c>
      <c r="D21" s="160" t="str">
        <f t="shared" ca="1" si="1"/>
        <v>Step 9 - Report key findings</v>
      </c>
      <c r="E21" s="178"/>
      <c r="F21" s="26">
        <f t="shared" ca="1" si="17"/>
        <v>1</v>
      </c>
      <c r="G21" s="217">
        <f t="shared" ca="1" si="19"/>
        <v>1</v>
      </c>
      <c r="H21" s="23">
        <f t="shared" si="20"/>
        <v>2</v>
      </c>
      <c r="I21" s="211">
        <f>Targets!F21</f>
        <v>2</v>
      </c>
      <c r="J21" s="218">
        <v>4</v>
      </c>
      <c r="AA21" s="13" t="str">
        <f>'MMAT Ref'!Q19</f>
        <v>C.2</v>
      </c>
      <c r="AB21" s="30" t="str">
        <f t="shared" si="21"/>
        <v>C.2 - Address root causes of weaknesses</v>
      </c>
      <c r="AC21" s="30">
        <f t="shared" ca="1" si="3"/>
        <v>1</v>
      </c>
      <c r="AD21" s="31">
        <f t="shared" ca="1" si="4"/>
        <v>2</v>
      </c>
      <c r="AE21" s="28"/>
      <c r="AF21" s="28"/>
      <c r="AG21" s="31">
        <f t="shared" ca="1" si="18"/>
        <v>1</v>
      </c>
      <c r="AH21" s="28"/>
      <c r="AI21" s="28"/>
      <c r="AJ21" s="31">
        <f t="shared" ca="1" si="15"/>
        <v>2</v>
      </c>
      <c r="AK21" s="28"/>
      <c r="AL21" s="28"/>
      <c r="AM21" s="164">
        <f t="shared" ref="AM21:AM25" si="22">J24</f>
        <v>2</v>
      </c>
    </row>
    <row r="22" spans="2:39" ht="30" customHeight="1" x14ac:dyDescent="0.25">
      <c r="B22" s="89" t="str">
        <f>'MMAT Ref'!AB20</f>
        <v>C</v>
      </c>
      <c r="C22" s="89" t="str">
        <f t="shared" ca="1" si="0"/>
        <v>Follow up</v>
      </c>
      <c r="D22" s="116" t="str">
        <f t="shared" ca="1" si="1"/>
        <v>Stage C - Follow up</v>
      </c>
      <c r="E22" s="127"/>
      <c r="F22" s="312" t="str">
        <f ca="1">$AR$6</f>
        <v>Maturity level: Level 1</v>
      </c>
      <c r="G22" s="312"/>
      <c r="H22" s="312"/>
      <c r="I22" s="312"/>
      <c r="J22" s="155"/>
      <c r="AA22" s="13" t="str">
        <f>'MMAT Ref'!Q20</f>
        <v>C.3</v>
      </c>
      <c r="AB22" s="30" t="str">
        <f t="shared" si="21"/>
        <v>C.3 - Initiate improvement programme</v>
      </c>
      <c r="AC22" s="30">
        <f t="shared" ca="1" si="3"/>
        <v>1</v>
      </c>
      <c r="AD22" s="31">
        <f t="shared" ca="1" si="4"/>
        <v>2</v>
      </c>
      <c r="AE22" s="28"/>
      <c r="AF22" s="28"/>
      <c r="AG22" s="31">
        <f t="shared" ca="1" si="18"/>
        <v>1</v>
      </c>
      <c r="AH22" s="28"/>
      <c r="AI22" s="28"/>
      <c r="AJ22" s="31">
        <f t="shared" ca="1" si="15"/>
        <v>2</v>
      </c>
      <c r="AK22" s="31"/>
      <c r="AL22" s="28"/>
      <c r="AM22" s="164">
        <f t="shared" si="22"/>
        <v>3</v>
      </c>
    </row>
    <row r="23" spans="2:39" ht="30" customHeight="1" x14ac:dyDescent="0.25">
      <c r="B23" s="8" t="str">
        <f>'MMAT Ref'!AB21</f>
        <v>C.1</v>
      </c>
      <c r="C23" s="8" t="str">
        <f t="shared" ca="1" si="0"/>
        <v>Remediate weaknesses</v>
      </c>
      <c r="D23" s="129" t="str">
        <f t="shared" ca="1" si="1"/>
        <v>Step 1 - Remediate weaknesses</v>
      </c>
      <c r="E23" s="162"/>
      <c r="F23" s="26">
        <f t="shared" ref="F23:F28" ca="1" si="23">VLOOKUP(B23,MaturityLevelsTable,3,FALSE)</f>
        <v>1</v>
      </c>
      <c r="G23" s="217">
        <f t="shared" ref="G23:G28" ca="1" si="24">IF(ISERROR(F23),"",F23)</f>
        <v>1</v>
      </c>
      <c r="H23" s="23">
        <f t="shared" ref="H23:H28" si="25">I23</f>
        <v>2</v>
      </c>
      <c r="I23" s="211">
        <f>Targets!F23</f>
        <v>2</v>
      </c>
      <c r="J23" s="218">
        <v>2</v>
      </c>
      <c r="AA23" s="13" t="str">
        <f>'MMAT Ref'!Q21</f>
        <v>C.4</v>
      </c>
      <c r="AB23" s="30" t="str">
        <f t="shared" si="21"/>
        <v>C.4 - Evaluate penetration testing effectiveness</v>
      </c>
      <c r="AC23" s="30">
        <f t="shared" ca="1" si="3"/>
        <v>1</v>
      </c>
      <c r="AD23" s="31">
        <f t="shared" ca="1" si="4"/>
        <v>2</v>
      </c>
      <c r="AE23" s="28"/>
      <c r="AF23" s="28"/>
      <c r="AG23" s="31">
        <f t="shared" ca="1" si="18"/>
        <v>1</v>
      </c>
      <c r="AH23" s="28"/>
      <c r="AI23" s="28"/>
      <c r="AJ23" s="31">
        <f t="shared" ca="1" si="15"/>
        <v>2</v>
      </c>
      <c r="AK23" s="31"/>
      <c r="AL23" s="28"/>
      <c r="AM23" s="164">
        <f t="shared" si="22"/>
        <v>3</v>
      </c>
    </row>
    <row r="24" spans="2:39" ht="30" customHeight="1" x14ac:dyDescent="0.25">
      <c r="B24" s="8" t="str">
        <f>'MMAT Ref'!AB22</f>
        <v>C.2</v>
      </c>
      <c r="C24" s="8" t="str">
        <f t="shared" ca="1" si="0"/>
        <v>Address root causes of weaknesses</v>
      </c>
      <c r="D24" s="129" t="str">
        <f t="shared" ca="1" si="1"/>
        <v>Step 2 - Address root causes of weaknesses</v>
      </c>
      <c r="E24" s="162"/>
      <c r="F24" s="26">
        <f t="shared" ca="1" si="23"/>
        <v>1</v>
      </c>
      <c r="G24" s="217">
        <f t="shared" ca="1" si="24"/>
        <v>1</v>
      </c>
      <c r="H24" s="23">
        <f t="shared" si="25"/>
        <v>2</v>
      </c>
      <c r="I24" s="211">
        <f>Targets!F24</f>
        <v>2</v>
      </c>
      <c r="J24" s="218">
        <v>2</v>
      </c>
      <c r="AA24" s="13" t="str">
        <f>'MMAT Ref'!Q22</f>
        <v>C.5</v>
      </c>
      <c r="AB24" s="30" t="str">
        <f t="shared" si="21"/>
        <v>C.5 - Build on lessons learned</v>
      </c>
      <c r="AC24" s="30">
        <f t="shared" ca="1" si="3"/>
        <v>1</v>
      </c>
      <c r="AD24" s="31">
        <f t="shared" ca="1" si="4"/>
        <v>2</v>
      </c>
      <c r="AE24" s="28"/>
      <c r="AF24" s="28"/>
      <c r="AG24" s="31">
        <f t="shared" ca="1" si="18"/>
        <v>1</v>
      </c>
      <c r="AH24" s="28"/>
      <c r="AI24" s="28"/>
      <c r="AJ24" s="31">
        <f t="shared" ca="1" si="15"/>
        <v>2</v>
      </c>
      <c r="AK24" s="31"/>
      <c r="AL24" s="28"/>
      <c r="AM24" s="164">
        <f t="shared" si="22"/>
        <v>2</v>
      </c>
    </row>
    <row r="25" spans="2:39" ht="30" customHeight="1" x14ac:dyDescent="0.25">
      <c r="B25" s="8" t="str">
        <f>'MMAT Ref'!AB23</f>
        <v>C.3</v>
      </c>
      <c r="C25" s="8" t="str">
        <f t="shared" ca="1" si="0"/>
        <v>Initiate improvement programme</v>
      </c>
      <c r="D25" s="129" t="str">
        <f t="shared" ca="1" si="1"/>
        <v>Step 3 - Initiate improvement programme</v>
      </c>
      <c r="E25" s="162"/>
      <c r="F25" s="26">
        <f t="shared" ca="1" si="23"/>
        <v>1</v>
      </c>
      <c r="G25" s="217">
        <f t="shared" ca="1" si="24"/>
        <v>1</v>
      </c>
      <c r="H25" s="23">
        <f t="shared" si="25"/>
        <v>2</v>
      </c>
      <c r="I25" s="211">
        <f>Targets!F25</f>
        <v>2</v>
      </c>
      <c r="J25" s="218">
        <v>3</v>
      </c>
      <c r="AA25" s="13" t="str">
        <f>'MMAT Ref'!Q23</f>
        <v>C.6</v>
      </c>
      <c r="AB25" s="30" t="str">
        <f t="shared" si="21"/>
        <v>C.6 - Create and monitor action plans</v>
      </c>
      <c r="AC25" s="30">
        <f t="shared" ca="1" si="3"/>
        <v>1</v>
      </c>
      <c r="AD25" s="28">
        <f t="shared" ca="1" si="4"/>
        <v>2</v>
      </c>
      <c r="AE25" s="28"/>
      <c r="AF25" s="28"/>
      <c r="AG25" s="28">
        <f t="shared" ca="1" si="18"/>
        <v>1</v>
      </c>
      <c r="AH25" s="28"/>
      <c r="AI25" s="28"/>
      <c r="AJ25" s="28">
        <f t="shared" ref="AJ25" ca="1" si="26">IF(LEFT($AB25,1)=AJ$2,$AD25,"")</f>
        <v>2</v>
      </c>
      <c r="AK25" s="28"/>
      <c r="AL25" s="28"/>
      <c r="AM25" s="279">
        <f t="shared" si="22"/>
        <v>3</v>
      </c>
    </row>
    <row r="26" spans="2:39" ht="30" customHeight="1" x14ac:dyDescent="0.25">
      <c r="B26" s="8" t="str">
        <f>'MMAT Ref'!AB24</f>
        <v>C.4</v>
      </c>
      <c r="C26" s="8" t="str">
        <f t="shared" ca="1" si="0"/>
        <v>Evaluate penetration testing effectiveness</v>
      </c>
      <c r="D26" s="129" t="str">
        <f t="shared" ca="1" si="1"/>
        <v>Step 4 - Evaluate penetration testing effectiveness</v>
      </c>
      <c r="E26" s="162"/>
      <c r="F26" s="26">
        <f t="shared" ca="1" si="23"/>
        <v>1</v>
      </c>
      <c r="G26" s="217">
        <f t="shared" ca="1" si="24"/>
        <v>1</v>
      </c>
      <c r="H26" s="23">
        <f t="shared" si="25"/>
        <v>2</v>
      </c>
      <c r="I26" s="211">
        <f>Targets!F26</f>
        <v>2</v>
      </c>
      <c r="J26" s="218">
        <v>3</v>
      </c>
      <c r="AA26"/>
      <c r="AB26"/>
      <c r="AC26"/>
      <c r="AD26"/>
      <c r="AE26"/>
      <c r="AF26"/>
      <c r="AG26"/>
      <c r="AH26"/>
      <c r="AI26"/>
      <c r="AJ26"/>
      <c r="AK26"/>
      <c r="AL26"/>
      <c r="AM26"/>
    </row>
    <row r="27" spans="2:39" ht="30" customHeight="1" x14ac:dyDescent="0.25">
      <c r="B27" s="8" t="str">
        <f>'MMAT Ref'!AB25</f>
        <v>C.5</v>
      </c>
      <c r="C27" s="8" t="str">
        <f t="shared" ca="1" si="0"/>
        <v>Build on lessons learned</v>
      </c>
      <c r="D27" s="129" t="str">
        <f t="shared" ca="1" si="1"/>
        <v>Step 5 - Build on lessons learned</v>
      </c>
      <c r="E27" s="162"/>
      <c r="F27" s="26">
        <f t="shared" ca="1" si="23"/>
        <v>1</v>
      </c>
      <c r="G27" s="217">
        <f t="shared" ca="1" si="24"/>
        <v>1</v>
      </c>
      <c r="H27" s="23">
        <f t="shared" si="25"/>
        <v>2</v>
      </c>
      <c r="I27" s="211">
        <f>Targets!F27</f>
        <v>2</v>
      </c>
      <c r="J27" s="218">
        <v>2</v>
      </c>
      <c r="AA27"/>
      <c r="AB27"/>
      <c r="AC27"/>
      <c r="AD27"/>
      <c r="AE27"/>
      <c r="AF27"/>
      <c r="AG27"/>
      <c r="AH27"/>
      <c r="AI27"/>
      <c r="AJ27"/>
      <c r="AK27"/>
      <c r="AL27"/>
      <c r="AM27"/>
    </row>
    <row r="28" spans="2:39" ht="30" customHeight="1" x14ac:dyDescent="0.25">
      <c r="B28" s="8" t="str">
        <f>'MMAT Ref'!AB26</f>
        <v>C.6</v>
      </c>
      <c r="C28" s="8" t="str">
        <f t="shared" ca="1" si="0"/>
        <v>Create and monitor action plans</v>
      </c>
      <c r="D28" s="129" t="str">
        <f t="shared" ca="1" si="1"/>
        <v>Step 6 - Create and monitor action plans</v>
      </c>
      <c r="E28" s="216"/>
      <c r="F28" s="163">
        <f t="shared" ca="1" si="23"/>
        <v>1</v>
      </c>
      <c r="G28" s="219">
        <f t="shared" ca="1" si="24"/>
        <v>1</v>
      </c>
      <c r="H28" s="24">
        <f t="shared" si="25"/>
        <v>2</v>
      </c>
      <c r="I28" s="212">
        <f>Targets!F28</f>
        <v>2</v>
      </c>
      <c r="J28" s="220">
        <v>3</v>
      </c>
      <c r="AA28"/>
      <c r="AB28"/>
      <c r="AC28"/>
      <c r="AD28"/>
      <c r="AE28"/>
      <c r="AF28"/>
      <c r="AG28"/>
      <c r="AH28"/>
      <c r="AI28"/>
      <c r="AJ28"/>
      <c r="AK28"/>
      <c r="AL28"/>
      <c r="AM28"/>
    </row>
    <row r="29" spans="2:39" ht="30" customHeight="1" x14ac:dyDescent="0.25">
      <c r="B29"/>
      <c r="C29"/>
      <c r="D29"/>
      <c r="E29"/>
      <c r="F29"/>
      <c r="G29"/>
      <c r="H29"/>
      <c r="I29"/>
      <c r="J29"/>
      <c r="AA29"/>
      <c r="AB29"/>
      <c r="AC29"/>
      <c r="AD29"/>
      <c r="AE29"/>
      <c r="AF29"/>
      <c r="AG29"/>
      <c r="AH29"/>
      <c r="AI29"/>
      <c r="AJ29"/>
      <c r="AK29"/>
      <c r="AL29"/>
      <c r="AM29"/>
    </row>
    <row r="30" spans="2:39" ht="30" customHeight="1" x14ac:dyDescent="0.25">
      <c r="B30"/>
      <c r="C30"/>
      <c r="D30"/>
      <c r="E30"/>
      <c r="F30"/>
      <c r="G30"/>
      <c r="H30"/>
      <c r="I30"/>
      <c r="J30"/>
      <c r="AA30"/>
      <c r="AB30"/>
      <c r="AC30"/>
      <c r="AD30"/>
      <c r="AE30"/>
      <c r="AF30"/>
      <c r="AG30"/>
      <c r="AH30"/>
      <c r="AI30"/>
      <c r="AJ30"/>
      <c r="AK30"/>
      <c r="AL30"/>
      <c r="AM30"/>
    </row>
    <row r="31" spans="2:39" ht="30" customHeight="1" x14ac:dyDescent="0.25">
      <c r="B31"/>
      <c r="C31"/>
      <c r="D31"/>
      <c r="E31"/>
      <c r="F31"/>
      <c r="G31"/>
      <c r="H31"/>
      <c r="I31"/>
      <c r="J31"/>
      <c r="AA31"/>
      <c r="AB31"/>
      <c r="AC31"/>
      <c r="AD31"/>
      <c r="AE31"/>
      <c r="AF31"/>
      <c r="AG31"/>
      <c r="AH31"/>
      <c r="AI31"/>
      <c r="AJ31"/>
      <c r="AK31"/>
      <c r="AL31"/>
      <c r="AM31"/>
    </row>
    <row r="32" spans="2:39" ht="30" customHeight="1" x14ac:dyDescent="0.25">
      <c r="B32"/>
      <c r="C32"/>
      <c r="D32"/>
      <c r="E32"/>
      <c r="F32"/>
      <c r="G32"/>
      <c r="H32"/>
      <c r="I32"/>
      <c r="J32"/>
      <c r="AA32"/>
      <c r="AB32"/>
      <c r="AE32" s="309"/>
      <c r="AF32" s="309"/>
      <c r="AG32" s="309"/>
      <c r="AH32" s="309"/>
      <c r="AI32" s="309"/>
      <c r="AJ32" s="309"/>
      <c r="AK32" s="309"/>
      <c r="AL32" s="309"/>
      <c r="AM32" s="309"/>
    </row>
    <row r="33" spans="2:46" ht="30" customHeight="1" x14ac:dyDescent="0.25">
      <c r="B33"/>
      <c r="C33"/>
      <c r="D33"/>
      <c r="E33"/>
      <c r="F33"/>
      <c r="G33"/>
      <c r="H33"/>
      <c r="I33"/>
      <c r="J33"/>
      <c r="AA33"/>
      <c r="AB33"/>
      <c r="AC33" s="7"/>
      <c r="AD33" s="7"/>
      <c r="AE33" s="109"/>
      <c r="AF33" s="109"/>
      <c r="AG33" s="109"/>
      <c r="AH33" s="109"/>
      <c r="AI33" s="109"/>
      <c r="AJ33" s="109"/>
      <c r="AK33" s="109"/>
      <c r="AL33" s="109"/>
      <c r="AM33" s="109"/>
    </row>
    <row r="34" spans="2:46" ht="30" customHeight="1" x14ac:dyDescent="0.25">
      <c r="B34"/>
      <c r="C34"/>
      <c r="D34"/>
      <c r="E34"/>
      <c r="F34"/>
      <c r="G34"/>
      <c r="H34"/>
      <c r="I34"/>
      <c r="J34"/>
      <c r="AB34"/>
      <c r="AC34"/>
      <c r="AD34"/>
      <c r="AE34"/>
      <c r="AF34"/>
      <c r="AG34"/>
      <c r="AH34"/>
      <c r="AI34"/>
      <c r="AJ34"/>
      <c r="AK34"/>
      <c r="AL34"/>
      <c r="AM34"/>
      <c r="AN34"/>
      <c r="AO34"/>
      <c r="AP34"/>
      <c r="AQ34"/>
      <c r="AR34"/>
      <c r="AS34"/>
      <c r="AT34"/>
    </row>
    <row r="35" spans="2:46" ht="30" customHeight="1" x14ac:dyDescent="0.25">
      <c r="B35"/>
      <c r="C35"/>
      <c r="D35"/>
      <c r="E35"/>
      <c r="F35"/>
      <c r="G35"/>
      <c r="H35"/>
      <c r="I35"/>
      <c r="J35"/>
      <c r="AB35"/>
      <c r="AC35"/>
      <c r="AD35"/>
      <c r="AE35"/>
      <c r="AF35"/>
      <c r="AG35"/>
      <c r="AH35"/>
      <c r="AI35"/>
      <c r="AJ35"/>
      <c r="AK35"/>
      <c r="AL35"/>
      <c r="AM35"/>
      <c r="AN35"/>
      <c r="AO35"/>
      <c r="AP35"/>
      <c r="AQ35"/>
      <c r="AR35"/>
      <c r="AS35"/>
      <c r="AT35"/>
    </row>
    <row r="36" spans="2:46" ht="30" customHeight="1" x14ac:dyDescent="0.25">
      <c r="B36"/>
      <c r="C36"/>
      <c r="D36"/>
      <c r="E36"/>
      <c r="F36"/>
      <c r="G36"/>
      <c r="H36"/>
      <c r="I36"/>
      <c r="J36"/>
      <c r="AB36"/>
      <c r="AC36"/>
      <c r="AD36"/>
      <c r="AE36"/>
      <c r="AF36"/>
      <c r="AG36"/>
      <c r="AH36"/>
      <c r="AI36"/>
      <c r="AJ36"/>
      <c r="AK36"/>
      <c r="AL36"/>
      <c r="AM36"/>
      <c r="AN36"/>
      <c r="AO36"/>
      <c r="AP36"/>
      <c r="AQ36"/>
      <c r="AR36"/>
      <c r="AS36"/>
      <c r="AT36"/>
    </row>
    <row r="37" spans="2:46" x14ac:dyDescent="0.25">
      <c r="AB37"/>
      <c r="AC37"/>
      <c r="AD37"/>
      <c r="AE37"/>
      <c r="AF37"/>
      <c r="AG37"/>
      <c r="AH37"/>
      <c r="AI37"/>
      <c r="AJ37"/>
      <c r="AK37"/>
      <c r="AL37"/>
      <c r="AM37"/>
      <c r="AN37"/>
      <c r="AO37"/>
      <c r="AP37"/>
      <c r="AQ37"/>
      <c r="AR37"/>
      <c r="AS37"/>
      <c r="AT37"/>
    </row>
    <row r="38" spans="2:46" x14ac:dyDescent="0.25">
      <c r="AB38"/>
      <c r="AC38"/>
      <c r="AD38"/>
      <c r="AE38"/>
      <c r="AF38"/>
      <c r="AG38"/>
      <c r="AH38"/>
      <c r="AI38"/>
      <c r="AJ38"/>
      <c r="AK38"/>
      <c r="AL38"/>
      <c r="AM38"/>
      <c r="AN38"/>
      <c r="AO38"/>
      <c r="AP38"/>
      <c r="AQ38"/>
      <c r="AR38"/>
      <c r="AS38"/>
      <c r="AT38"/>
    </row>
    <row r="39" spans="2:46" x14ac:dyDescent="0.25">
      <c r="AB39"/>
      <c r="AC39"/>
      <c r="AD39"/>
      <c r="AE39"/>
      <c r="AF39"/>
      <c r="AG39"/>
      <c r="AH39"/>
      <c r="AI39"/>
      <c r="AJ39"/>
      <c r="AK39"/>
      <c r="AL39"/>
      <c r="AM39"/>
      <c r="AN39"/>
      <c r="AO39"/>
      <c r="AP39"/>
      <c r="AQ39"/>
      <c r="AR39"/>
      <c r="AS39"/>
      <c r="AT39"/>
    </row>
    <row r="40" spans="2:46" x14ac:dyDescent="0.25">
      <c r="AB40"/>
      <c r="AC40"/>
      <c r="AD40"/>
      <c r="AE40"/>
      <c r="AF40"/>
      <c r="AG40"/>
      <c r="AH40"/>
      <c r="AI40"/>
      <c r="AJ40"/>
      <c r="AK40"/>
      <c r="AL40"/>
      <c r="AM40"/>
      <c r="AN40"/>
      <c r="AO40"/>
      <c r="AP40"/>
      <c r="AQ40"/>
      <c r="AR40"/>
      <c r="AS40"/>
      <c r="AT40"/>
    </row>
    <row r="41" spans="2:46" x14ac:dyDescent="0.25">
      <c r="AB41"/>
      <c r="AC41"/>
      <c r="AD41"/>
      <c r="AE41"/>
      <c r="AF41"/>
      <c r="AG41"/>
      <c r="AH41"/>
      <c r="AI41"/>
      <c r="AJ41"/>
      <c r="AK41"/>
      <c r="AL41"/>
      <c r="AM41"/>
      <c r="AN41"/>
      <c r="AO41"/>
      <c r="AP41"/>
      <c r="AQ41"/>
      <c r="AR41"/>
      <c r="AS41"/>
      <c r="AT41"/>
    </row>
    <row r="42" spans="2:46" x14ac:dyDescent="0.25">
      <c r="AB42"/>
      <c r="AC42"/>
      <c r="AD42"/>
      <c r="AE42"/>
      <c r="AF42"/>
      <c r="AG42"/>
      <c r="AH42"/>
      <c r="AI42"/>
      <c r="AJ42"/>
      <c r="AK42"/>
      <c r="AL42"/>
      <c r="AM42"/>
      <c r="AN42"/>
      <c r="AO42"/>
      <c r="AP42"/>
      <c r="AQ42"/>
      <c r="AR42"/>
      <c r="AS42"/>
      <c r="AT42"/>
    </row>
    <row r="43" spans="2:46" x14ac:dyDescent="0.25">
      <c r="AB43"/>
      <c r="AC43"/>
      <c r="AD43"/>
      <c r="AE43"/>
      <c r="AF43"/>
      <c r="AG43"/>
      <c r="AH43"/>
      <c r="AI43"/>
      <c r="AJ43"/>
      <c r="AK43"/>
      <c r="AL43"/>
      <c r="AM43"/>
      <c r="AN43"/>
      <c r="AO43"/>
      <c r="AP43"/>
      <c r="AQ43"/>
      <c r="AR43"/>
      <c r="AS43"/>
      <c r="AT43"/>
    </row>
    <row r="44" spans="2:46" x14ac:dyDescent="0.25">
      <c r="AB44"/>
      <c r="AC44"/>
      <c r="AD44"/>
      <c r="AE44"/>
      <c r="AF44"/>
      <c r="AG44"/>
      <c r="AH44"/>
      <c r="AI44"/>
      <c r="AJ44"/>
      <c r="AK44"/>
      <c r="AL44"/>
      <c r="AM44"/>
      <c r="AN44"/>
      <c r="AO44"/>
      <c r="AP44"/>
      <c r="AQ44"/>
      <c r="AR44"/>
      <c r="AS44"/>
      <c r="AT44"/>
    </row>
    <row r="45" spans="2:46" x14ac:dyDescent="0.25">
      <c r="AB45"/>
      <c r="AC45"/>
      <c r="AD45"/>
      <c r="AE45"/>
      <c r="AF45"/>
      <c r="AG45"/>
      <c r="AH45"/>
      <c r="AI45"/>
      <c r="AJ45"/>
      <c r="AK45"/>
      <c r="AL45"/>
      <c r="AM45"/>
      <c r="AN45"/>
      <c r="AO45"/>
      <c r="AP45"/>
      <c r="AQ45"/>
      <c r="AR45"/>
      <c r="AS45"/>
      <c r="AT45"/>
    </row>
    <row r="46" spans="2:46" x14ac:dyDescent="0.25">
      <c r="AB46"/>
      <c r="AC46"/>
      <c r="AD46"/>
      <c r="AE46"/>
      <c r="AF46"/>
      <c r="AG46"/>
      <c r="AH46"/>
      <c r="AI46"/>
      <c r="AJ46"/>
      <c r="AK46"/>
      <c r="AL46"/>
      <c r="AM46"/>
      <c r="AN46"/>
      <c r="AO46"/>
      <c r="AP46"/>
      <c r="AQ46"/>
      <c r="AR46"/>
      <c r="AS46"/>
      <c r="AT46"/>
    </row>
    <row r="47" spans="2:46" x14ac:dyDescent="0.25">
      <c r="AB47"/>
      <c r="AC47"/>
      <c r="AD47"/>
      <c r="AE47"/>
      <c r="AF47"/>
      <c r="AG47"/>
      <c r="AH47"/>
      <c r="AI47"/>
      <c r="AJ47"/>
      <c r="AK47"/>
      <c r="AL47"/>
      <c r="AM47"/>
      <c r="AN47"/>
      <c r="AO47"/>
      <c r="AP47"/>
      <c r="AQ47"/>
      <c r="AR47"/>
      <c r="AS47"/>
      <c r="AT47"/>
    </row>
    <row r="48" spans="2:46" x14ac:dyDescent="0.25">
      <c r="AB48"/>
      <c r="AC48"/>
      <c r="AD48"/>
      <c r="AE48"/>
      <c r="AF48"/>
      <c r="AG48"/>
      <c r="AH48"/>
      <c r="AI48"/>
      <c r="AJ48"/>
      <c r="AK48"/>
      <c r="AL48"/>
      <c r="AM48"/>
      <c r="AN48"/>
      <c r="AO48"/>
      <c r="AP48"/>
      <c r="AQ48"/>
      <c r="AR48"/>
      <c r="AS48"/>
      <c r="AT48"/>
    </row>
    <row r="49" spans="28:46" x14ac:dyDescent="0.25">
      <c r="AB49"/>
      <c r="AC49"/>
      <c r="AD49"/>
      <c r="AE49"/>
      <c r="AF49"/>
      <c r="AG49"/>
      <c r="AH49"/>
      <c r="AI49"/>
      <c r="AJ49"/>
      <c r="AK49"/>
      <c r="AL49"/>
      <c r="AM49"/>
      <c r="AN49"/>
      <c r="AO49"/>
      <c r="AP49"/>
      <c r="AQ49"/>
      <c r="AR49"/>
      <c r="AS49"/>
      <c r="AT49"/>
    </row>
    <row r="50" spans="28:46" x14ac:dyDescent="0.25">
      <c r="AB50"/>
      <c r="AC50"/>
      <c r="AD50"/>
      <c r="AE50"/>
      <c r="AF50"/>
      <c r="AG50"/>
      <c r="AH50"/>
      <c r="AI50"/>
      <c r="AJ50"/>
      <c r="AK50"/>
      <c r="AL50"/>
      <c r="AM50"/>
      <c r="AN50"/>
      <c r="AO50"/>
      <c r="AP50"/>
      <c r="AQ50"/>
      <c r="AR50"/>
      <c r="AS50"/>
      <c r="AT50"/>
    </row>
    <row r="51" spans="28:46" x14ac:dyDescent="0.25">
      <c r="AB51"/>
      <c r="AC51"/>
      <c r="AD51"/>
      <c r="AE51"/>
      <c r="AF51"/>
      <c r="AG51"/>
      <c r="AH51"/>
      <c r="AI51"/>
      <c r="AJ51"/>
      <c r="AK51"/>
      <c r="AL51"/>
      <c r="AM51"/>
      <c r="AN51"/>
      <c r="AO51"/>
      <c r="AP51"/>
      <c r="AQ51"/>
      <c r="AR51"/>
      <c r="AS51"/>
      <c r="AT51"/>
    </row>
    <row r="52" spans="28:46" x14ac:dyDescent="0.25">
      <c r="AB52"/>
      <c r="AC52"/>
      <c r="AD52"/>
      <c r="AE52"/>
      <c r="AF52"/>
      <c r="AG52"/>
      <c r="AH52"/>
      <c r="AI52"/>
      <c r="AJ52"/>
      <c r="AK52"/>
      <c r="AL52"/>
      <c r="AM52"/>
      <c r="AN52"/>
      <c r="AO52"/>
      <c r="AP52"/>
      <c r="AQ52"/>
      <c r="AR52"/>
      <c r="AS52"/>
      <c r="AT52"/>
    </row>
    <row r="53" spans="28:46" x14ac:dyDescent="0.25">
      <c r="AB53"/>
      <c r="AC53"/>
      <c r="AD53"/>
      <c r="AE53"/>
      <c r="AF53"/>
      <c r="AG53"/>
      <c r="AH53"/>
      <c r="AI53"/>
      <c r="AJ53"/>
      <c r="AK53"/>
      <c r="AL53"/>
      <c r="AM53"/>
      <c r="AN53"/>
      <c r="AO53"/>
      <c r="AP53"/>
      <c r="AQ53"/>
      <c r="AR53"/>
      <c r="AS53"/>
      <c r="AT53"/>
    </row>
    <row r="54" spans="28:46" x14ac:dyDescent="0.25">
      <c r="AB54"/>
      <c r="AC54"/>
      <c r="AD54"/>
      <c r="AE54"/>
      <c r="AF54"/>
      <c r="AG54"/>
      <c r="AH54"/>
      <c r="AI54"/>
      <c r="AJ54"/>
      <c r="AK54"/>
      <c r="AL54"/>
      <c r="AM54"/>
      <c r="AN54"/>
      <c r="AO54"/>
      <c r="AP54"/>
      <c r="AQ54"/>
      <c r="AR54"/>
      <c r="AS54"/>
      <c r="AT54"/>
    </row>
    <row r="55" spans="28:46" x14ac:dyDescent="0.25">
      <c r="AB55"/>
      <c r="AC55"/>
      <c r="AD55"/>
      <c r="AE55"/>
      <c r="AF55"/>
      <c r="AG55"/>
      <c r="AH55"/>
      <c r="AI55"/>
      <c r="AJ55"/>
      <c r="AK55"/>
      <c r="AL55"/>
      <c r="AM55"/>
      <c r="AN55"/>
      <c r="AO55"/>
      <c r="AP55"/>
      <c r="AQ55"/>
      <c r="AR55"/>
      <c r="AS55"/>
      <c r="AT55"/>
    </row>
    <row r="56" spans="28:46" x14ac:dyDescent="0.25">
      <c r="AB56"/>
      <c r="AC56"/>
      <c r="AD56"/>
      <c r="AE56"/>
      <c r="AF56"/>
      <c r="AG56"/>
      <c r="AH56"/>
      <c r="AI56"/>
      <c r="AJ56"/>
      <c r="AK56"/>
      <c r="AL56"/>
      <c r="AM56"/>
      <c r="AN56"/>
      <c r="AO56"/>
      <c r="AP56"/>
      <c r="AQ56"/>
      <c r="AR56"/>
      <c r="AS56"/>
      <c r="AT56"/>
    </row>
    <row r="57" spans="28:46" x14ac:dyDescent="0.25">
      <c r="AB57"/>
      <c r="AC57"/>
      <c r="AD57"/>
      <c r="AE57"/>
      <c r="AF57"/>
      <c r="AG57"/>
      <c r="AH57"/>
      <c r="AI57"/>
      <c r="AJ57"/>
      <c r="AK57"/>
      <c r="AL57"/>
      <c r="AM57"/>
      <c r="AN57"/>
      <c r="AO57"/>
      <c r="AP57"/>
      <c r="AQ57"/>
      <c r="AR57"/>
      <c r="AS57"/>
      <c r="AT57"/>
    </row>
    <row r="58" spans="28:46" x14ac:dyDescent="0.25">
      <c r="AB58"/>
      <c r="AC58"/>
      <c r="AD58"/>
      <c r="AE58"/>
      <c r="AF58"/>
      <c r="AG58"/>
      <c r="AH58"/>
      <c r="AI58"/>
      <c r="AJ58"/>
      <c r="AK58"/>
      <c r="AL58"/>
      <c r="AM58"/>
      <c r="AN58"/>
      <c r="AO58"/>
      <c r="AP58"/>
      <c r="AQ58"/>
      <c r="AR58"/>
      <c r="AS58"/>
      <c r="AT58"/>
    </row>
    <row r="59" spans="28:46" x14ac:dyDescent="0.25">
      <c r="AB59"/>
      <c r="AC59"/>
      <c r="AD59"/>
      <c r="AE59"/>
      <c r="AF59"/>
      <c r="AG59"/>
      <c r="AH59"/>
      <c r="AI59"/>
      <c r="AJ59"/>
      <c r="AK59"/>
      <c r="AL59"/>
      <c r="AM59"/>
      <c r="AN59"/>
      <c r="AO59"/>
      <c r="AP59"/>
      <c r="AQ59"/>
      <c r="AR59"/>
      <c r="AS59"/>
      <c r="AT59"/>
    </row>
    <row r="60" spans="28:46" x14ac:dyDescent="0.25">
      <c r="AB60"/>
      <c r="AC60"/>
      <c r="AD60"/>
      <c r="AE60"/>
      <c r="AF60"/>
      <c r="AG60"/>
      <c r="AH60"/>
      <c r="AI60"/>
      <c r="AJ60"/>
      <c r="AK60"/>
      <c r="AL60"/>
      <c r="AM60"/>
      <c r="AN60"/>
      <c r="AO60"/>
      <c r="AP60"/>
      <c r="AQ60"/>
      <c r="AR60"/>
      <c r="AS60"/>
      <c r="AT60"/>
    </row>
    <row r="61" spans="28:46" x14ac:dyDescent="0.25">
      <c r="AB61"/>
      <c r="AC61"/>
      <c r="AD61"/>
      <c r="AE61"/>
      <c r="AF61"/>
      <c r="AG61"/>
      <c r="AH61"/>
      <c r="AI61"/>
      <c r="AJ61"/>
      <c r="AK61"/>
      <c r="AL61"/>
      <c r="AM61"/>
      <c r="AN61"/>
      <c r="AO61"/>
      <c r="AP61"/>
      <c r="AQ61"/>
      <c r="AR61"/>
      <c r="AS61"/>
      <c r="AT61"/>
    </row>
  </sheetData>
  <sheetProtection algorithmName="SHA-512" hashValue="hxtZvdOCA+K0Nrnr+SFDVYDz4WoHlgVj8z5rUbGKkPbX5Sw8bxP8Uyd8moN0epYo8t17qNMPU9OmCkG+R7vmmA==" saltValue="S5rCEcxdmiDzSNqqMDtxKA==" spinCount="100000" sheet="1" objects="1" scenarios="1"/>
  <mergeCells count="12">
    <mergeCell ref="AE32:AG32"/>
    <mergeCell ref="AH32:AJ32"/>
    <mergeCell ref="AK32:AM32"/>
    <mergeCell ref="F4:I4"/>
    <mergeCell ref="F22:I22"/>
    <mergeCell ref="F12:I12"/>
    <mergeCell ref="AE1:AG1"/>
    <mergeCell ref="AH1:AJ1"/>
    <mergeCell ref="AK1:AM1"/>
    <mergeCell ref="F2:G2"/>
    <mergeCell ref="H2:I2"/>
    <mergeCell ref="D1:I1"/>
  </mergeCells>
  <conditionalFormatting sqref="F5">
    <cfRule type="dataBar" priority="54">
      <dataBar>
        <cfvo type="num" val="0"/>
        <cfvo type="num" val="5"/>
        <color rgb="FF3156BD"/>
      </dataBar>
      <extLst>
        <ext xmlns:x14="http://schemas.microsoft.com/office/spreadsheetml/2009/9/main" uri="{B025F937-C7B1-47D3-B67F-A62EFF666E3E}">
          <x14:id>{DCAF092A-962D-4367-A0EE-9C6E84CCE8AE}</x14:id>
        </ext>
      </extLst>
    </cfRule>
  </conditionalFormatting>
  <conditionalFormatting sqref="H5">
    <cfRule type="dataBar" priority="52">
      <dataBar>
        <cfvo type="num" val="0"/>
        <cfvo type="num" val="5"/>
        <color rgb="FF00B050"/>
      </dataBar>
      <extLst>
        <ext xmlns:x14="http://schemas.microsoft.com/office/spreadsheetml/2009/9/main" uri="{B025F937-C7B1-47D3-B67F-A62EFF666E3E}">
          <x14:id>{2338CE7B-7641-4A34-B942-C8A15467EA48}</x14:id>
        </ext>
      </extLst>
    </cfRule>
  </conditionalFormatting>
  <conditionalFormatting sqref="H6:H8">
    <cfRule type="dataBar" priority="20">
      <dataBar>
        <cfvo type="num" val="0"/>
        <cfvo type="num" val="5"/>
        <color rgb="FF00B050"/>
      </dataBar>
      <extLst>
        <ext xmlns:x14="http://schemas.microsoft.com/office/spreadsheetml/2009/9/main" uri="{B025F937-C7B1-47D3-B67F-A62EFF666E3E}">
          <x14:id>{9E319336-5598-4F63-9436-31C2F9A8A8B9}</x14:id>
        </ext>
      </extLst>
    </cfRule>
  </conditionalFormatting>
  <conditionalFormatting sqref="H10:H11 H13:H14">
    <cfRule type="dataBar" priority="18">
      <dataBar>
        <cfvo type="num" val="0"/>
        <cfvo type="num" val="5"/>
        <color rgb="FF00B050"/>
      </dataBar>
      <extLst>
        <ext xmlns:x14="http://schemas.microsoft.com/office/spreadsheetml/2009/9/main" uri="{B025F937-C7B1-47D3-B67F-A62EFF666E3E}">
          <x14:id>{A6E39582-5E49-4477-A2A5-6BB84F754018}</x14:id>
        </ext>
      </extLst>
    </cfRule>
  </conditionalFormatting>
  <conditionalFormatting sqref="H16:H21">
    <cfRule type="dataBar" priority="16">
      <dataBar>
        <cfvo type="num" val="0"/>
        <cfvo type="num" val="5"/>
        <color rgb="FF00B050"/>
      </dataBar>
      <extLst>
        <ext xmlns:x14="http://schemas.microsoft.com/office/spreadsheetml/2009/9/main" uri="{B025F937-C7B1-47D3-B67F-A62EFF666E3E}">
          <x14:id>{1EE6F314-E181-4484-94FD-ED463B6BD787}</x14:id>
        </ext>
      </extLst>
    </cfRule>
  </conditionalFormatting>
  <conditionalFormatting sqref="H23:H28">
    <cfRule type="dataBar" priority="14">
      <dataBar>
        <cfvo type="num" val="0"/>
        <cfvo type="num" val="5"/>
        <color rgb="FF00B050"/>
      </dataBar>
      <extLst>
        <ext xmlns:x14="http://schemas.microsoft.com/office/spreadsheetml/2009/9/main" uri="{B025F937-C7B1-47D3-B67F-A62EFF666E3E}">
          <x14:id>{A2B2DD3E-F1CA-42F4-81A8-111E7C38E884}</x14:id>
        </ext>
      </extLst>
    </cfRule>
  </conditionalFormatting>
  <conditionalFormatting sqref="F6:F8">
    <cfRule type="dataBar" priority="9">
      <dataBar>
        <cfvo type="num" val="0"/>
        <cfvo type="num" val="5"/>
        <color rgb="FF3156BD"/>
      </dataBar>
      <extLst>
        <ext xmlns:x14="http://schemas.microsoft.com/office/spreadsheetml/2009/9/main" uri="{B025F937-C7B1-47D3-B67F-A62EFF666E3E}">
          <x14:id>{77C75A0F-6C4B-49F9-893E-A3A9782E4202}</x14:id>
        </ext>
      </extLst>
    </cfRule>
  </conditionalFormatting>
  <conditionalFormatting sqref="F10:F11 F13:F14">
    <cfRule type="dataBar" priority="8">
      <dataBar>
        <cfvo type="num" val="0"/>
        <cfvo type="num" val="5"/>
        <color rgb="FF3156BD"/>
      </dataBar>
      <extLst>
        <ext xmlns:x14="http://schemas.microsoft.com/office/spreadsheetml/2009/9/main" uri="{B025F937-C7B1-47D3-B67F-A62EFF666E3E}">
          <x14:id>{EC4A5AF6-C497-417B-A864-80F2436B9B51}</x14:id>
        </ext>
      </extLst>
    </cfRule>
  </conditionalFormatting>
  <conditionalFormatting sqref="F15">
    <cfRule type="dataBar" priority="1">
      <dataBar>
        <cfvo type="num" val="0"/>
        <cfvo type="num" val="5"/>
        <color rgb="FF3156BD"/>
      </dataBar>
      <extLst>
        <ext xmlns:x14="http://schemas.microsoft.com/office/spreadsheetml/2009/9/main" uri="{B025F937-C7B1-47D3-B67F-A62EFF666E3E}">
          <x14:id>{1DB42617-B7D2-415A-AC52-FAA0F1958EE3}</x14:id>
        </ext>
      </extLst>
    </cfRule>
  </conditionalFormatting>
  <conditionalFormatting sqref="F16:F21">
    <cfRule type="dataBar" priority="7">
      <dataBar>
        <cfvo type="num" val="0"/>
        <cfvo type="num" val="5"/>
        <color rgb="FF3156BD"/>
      </dataBar>
      <extLst>
        <ext xmlns:x14="http://schemas.microsoft.com/office/spreadsheetml/2009/9/main" uri="{B025F937-C7B1-47D3-B67F-A62EFF666E3E}">
          <x14:id>{03EFA48D-E315-4E94-B94C-5D39ED9F9518}</x14:id>
        </ext>
      </extLst>
    </cfRule>
  </conditionalFormatting>
  <conditionalFormatting sqref="F23:F28">
    <cfRule type="dataBar" priority="6">
      <dataBar>
        <cfvo type="num" val="0"/>
        <cfvo type="num" val="5"/>
        <color rgb="FF3156BD"/>
      </dataBar>
      <extLst>
        <ext xmlns:x14="http://schemas.microsoft.com/office/spreadsheetml/2009/9/main" uri="{B025F937-C7B1-47D3-B67F-A62EFF666E3E}">
          <x14:id>{716C5170-F01B-4A6A-B370-2798EF17A82B}</x14:id>
        </ext>
      </extLst>
    </cfRule>
  </conditionalFormatting>
  <conditionalFormatting sqref="H9">
    <cfRule type="dataBar" priority="4">
      <dataBar>
        <cfvo type="num" val="0"/>
        <cfvo type="num" val="5"/>
        <color rgb="FF00B050"/>
      </dataBar>
      <extLst>
        <ext xmlns:x14="http://schemas.microsoft.com/office/spreadsheetml/2009/9/main" uri="{B025F937-C7B1-47D3-B67F-A62EFF666E3E}">
          <x14:id>{3457411B-63E5-42F5-B6BC-AFA4A8A57C27}</x14:id>
        </ext>
      </extLst>
    </cfRule>
  </conditionalFormatting>
  <conditionalFormatting sqref="F9">
    <cfRule type="dataBar" priority="3">
      <dataBar>
        <cfvo type="num" val="0"/>
        <cfvo type="num" val="5"/>
        <color rgb="FF3156BD"/>
      </dataBar>
      <extLst>
        <ext xmlns:x14="http://schemas.microsoft.com/office/spreadsheetml/2009/9/main" uri="{B025F937-C7B1-47D3-B67F-A62EFF666E3E}">
          <x14:id>{6EAFF069-C019-4377-BBFB-7EC12476F371}</x14:id>
        </ext>
      </extLst>
    </cfRule>
  </conditionalFormatting>
  <conditionalFormatting sqref="H15">
    <cfRule type="dataBar" priority="2">
      <dataBar>
        <cfvo type="num" val="0"/>
        <cfvo type="num" val="5"/>
        <color rgb="FF00B050"/>
      </dataBar>
      <extLst>
        <ext xmlns:x14="http://schemas.microsoft.com/office/spreadsheetml/2009/9/main" uri="{B025F937-C7B1-47D3-B67F-A62EFF666E3E}">
          <x14:id>{79D95300-E371-4C15-BA0C-4BD35C7B621A}</x14:id>
        </ext>
      </extLst>
    </cfRule>
  </conditionalFormatting>
  <dataValidations count="1">
    <dataValidation type="decimal" allowBlank="1" showInputMessage="1" showErrorMessage="1" errorTitle="Invalid entry" error="Benchmark rating must be a decimal number or integer less than or equal to 5" sqref="J23:J28 J5:J11 J13:J21" xr:uid="{00000000-0002-0000-0700-000000000000}">
      <formula1>0</formula1>
      <formula2>5</formula2>
    </dataValidation>
  </dataValidations>
  <pageMargins left="0.7" right="0.7" top="0.75" bottom="0.75" header="0.3" footer="0.3"/>
  <pageSetup paperSize="9" scale="58" fitToHeight="0" orientation="landscape" horizontalDpi="4294967293" r:id="rId1"/>
  <drawing r:id="rId2"/>
  <extLst>
    <ext xmlns:x14="http://schemas.microsoft.com/office/spreadsheetml/2009/9/main" uri="{78C0D931-6437-407d-A8EE-F0AAD7539E65}">
      <x14:conditionalFormattings>
        <x14:conditionalFormatting xmlns:xm="http://schemas.microsoft.com/office/excel/2006/main">
          <x14:cfRule type="dataBar" id="{DCAF092A-962D-4367-A0EE-9C6E84CCE8AE}">
            <x14:dataBar minLength="0" maxLength="100" gradient="0">
              <x14:cfvo type="num">
                <xm:f>0</xm:f>
              </x14:cfvo>
              <x14:cfvo type="num">
                <xm:f>5</xm:f>
              </x14:cfvo>
              <x14:negativeFillColor rgb="FFFF0000"/>
              <x14:axisColor rgb="FF000000"/>
            </x14:dataBar>
          </x14:cfRule>
          <xm:sqref>F5</xm:sqref>
        </x14:conditionalFormatting>
        <x14:conditionalFormatting xmlns:xm="http://schemas.microsoft.com/office/excel/2006/main">
          <x14:cfRule type="dataBar" id="{2338CE7B-7641-4A34-B942-C8A15467EA48}">
            <x14:dataBar minLength="0" maxLength="100" gradient="0">
              <x14:cfvo type="num">
                <xm:f>0</xm:f>
              </x14:cfvo>
              <x14:cfvo type="num">
                <xm:f>5</xm:f>
              </x14:cfvo>
              <x14:negativeFillColor rgb="FFFF0000"/>
              <x14:axisColor rgb="FF000000"/>
            </x14:dataBar>
          </x14:cfRule>
          <xm:sqref>H5</xm:sqref>
        </x14:conditionalFormatting>
        <x14:conditionalFormatting xmlns:xm="http://schemas.microsoft.com/office/excel/2006/main">
          <x14:cfRule type="dataBar" id="{9E319336-5598-4F63-9436-31C2F9A8A8B9}">
            <x14:dataBar minLength="0" maxLength="100" gradient="0">
              <x14:cfvo type="num">
                <xm:f>0</xm:f>
              </x14:cfvo>
              <x14:cfvo type="num">
                <xm:f>5</xm:f>
              </x14:cfvo>
              <x14:negativeFillColor rgb="FFFF0000"/>
              <x14:axisColor rgb="FF000000"/>
            </x14:dataBar>
          </x14:cfRule>
          <xm:sqref>H6:H8</xm:sqref>
        </x14:conditionalFormatting>
        <x14:conditionalFormatting xmlns:xm="http://schemas.microsoft.com/office/excel/2006/main">
          <x14:cfRule type="dataBar" id="{A6E39582-5E49-4477-A2A5-6BB84F754018}">
            <x14:dataBar minLength="0" maxLength="100" gradient="0">
              <x14:cfvo type="num">
                <xm:f>0</xm:f>
              </x14:cfvo>
              <x14:cfvo type="num">
                <xm:f>5</xm:f>
              </x14:cfvo>
              <x14:negativeFillColor rgb="FFFF0000"/>
              <x14:axisColor rgb="FF000000"/>
            </x14:dataBar>
          </x14:cfRule>
          <xm:sqref>H10:H11 H13:H14</xm:sqref>
        </x14:conditionalFormatting>
        <x14:conditionalFormatting xmlns:xm="http://schemas.microsoft.com/office/excel/2006/main">
          <x14:cfRule type="dataBar" id="{1EE6F314-E181-4484-94FD-ED463B6BD787}">
            <x14:dataBar minLength="0" maxLength="100" gradient="0">
              <x14:cfvo type="num">
                <xm:f>0</xm:f>
              </x14:cfvo>
              <x14:cfvo type="num">
                <xm:f>5</xm:f>
              </x14:cfvo>
              <x14:negativeFillColor rgb="FFFF0000"/>
              <x14:axisColor rgb="FF000000"/>
            </x14:dataBar>
          </x14:cfRule>
          <xm:sqref>H16:H21</xm:sqref>
        </x14:conditionalFormatting>
        <x14:conditionalFormatting xmlns:xm="http://schemas.microsoft.com/office/excel/2006/main">
          <x14:cfRule type="dataBar" id="{A2B2DD3E-F1CA-42F4-81A8-111E7C38E884}">
            <x14:dataBar minLength="0" maxLength="100" gradient="0">
              <x14:cfvo type="num">
                <xm:f>0</xm:f>
              </x14:cfvo>
              <x14:cfvo type="num">
                <xm:f>5</xm:f>
              </x14:cfvo>
              <x14:negativeFillColor rgb="FFFF0000"/>
              <x14:axisColor rgb="FF000000"/>
            </x14:dataBar>
          </x14:cfRule>
          <xm:sqref>H23:H28</xm:sqref>
        </x14:conditionalFormatting>
        <x14:conditionalFormatting xmlns:xm="http://schemas.microsoft.com/office/excel/2006/main">
          <x14:cfRule type="dataBar" id="{77C75A0F-6C4B-49F9-893E-A3A9782E4202}">
            <x14:dataBar minLength="0" maxLength="100" gradient="0">
              <x14:cfvo type="num">
                <xm:f>0</xm:f>
              </x14:cfvo>
              <x14:cfvo type="num">
                <xm:f>5</xm:f>
              </x14:cfvo>
              <x14:negativeFillColor rgb="FFFF0000"/>
              <x14:axisColor rgb="FF000000"/>
            </x14:dataBar>
          </x14:cfRule>
          <xm:sqref>F6:F8</xm:sqref>
        </x14:conditionalFormatting>
        <x14:conditionalFormatting xmlns:xm="http://schemas.microsoft.com/office/excel/2006/main">
          <x14:cfRule type="dataBar" id="{EC4A5AF6-C497-417B-A864-80F2436B9B51}">
            <x14:dataBar minLength="0" maxLength="100" gradient="0">
              <x14:cfvo type="num">
                <xm:f>0</xm:f>
              </x14:cfvo>
              <x14:cfvo type="num">
                <xm:f>5</xm:f>
              </x14:cfvo>
              <x14:negativeFillColor rgb="FFFF0000"/>
              <x14:axisColor rgb="FF000000"/>
            </x14:dataBar>
          </x14:cfRule>
          <xm:sqref>F10:F11 F13:F14</xm:sqref>
        </x14:conditionalFormatting>
        <x14:conditionalFormatting xmlns:xm="http://schemas.microsoft.com/office/excel/2006/main">
          <x14:cfRule type="dataBar" id="{1DB42617-B7D2-415A-AC52-FAA0F1958EE3}">
            <x14:dataBar minLength="0" maxLength="100" gradient="0">
              <x14:cfvo type="num">
                <xm:f>0</xm:f>
              </x14:cfvo>
              <x14:cfvo type="num">
                <xm:f>5</xm:f>
              </x14:cfvo>
              <x14:negativeFillColor rgb="FFFF0000"/>
              <x14:axisColor rgb="FF000000"/>
            </x14:dataBar>
          </x14:cfRule>
          <xm:sqref>F15</xm:sqref>
        </x14:conditionalFormatting>
        <x14:conditionalFormatting xmlns:xm="http://schemas.microsoft.com/office/excel/2006/main">
          <x14:cfRule type="dataBar" id="{03EFA48D-E315-4E94-B94C-5D39ED9F9518}">
            <x14:dataBar minLength="0" maxLength="100" gradient="0">
              <x14:cfvo type="num">
                <xm:f>0</xm:f>
              </x14:cfvo>
              <x14:cfvo type="num">
                <xm:f>5</xm:f>
              </x14:cfvo>
              <x14:negativeFillColor rgb="FFFF0000"/>
              <x14:axisColor rgb="FF000000"/>
            </x14:dataBar>
          </x14:cfRule>
          <xm:sqref>F16:F21</xm:sqref>
        </x14:conditionalFormatting>
        <x14:conditionalFormatting xmlns:xm="http://schemas.microsoft.com/office/excel/2006/main">
          <x14:cfRule type="dataBar" id="{716C5170-F01B-4A6A-B370-2798EF17A82B}">
            <x14:dataBar minLength="0" maxLength="100" gradient="0">
              <x14:cfvo type="num">
                <xm:f>0</xm:f>
              </x14:cfvo>
              <x14:cfvo type="num">
                <xm:f>5</xm:f>
              </x14:cfvo>
              <x14:negativeFillColor rgb="FFFF0000"/>
              <x14:axisColor rgb="FF000000"/>
            </x14:dataBar>
          </x14:cfRule>
          <xm:sqref>F23:F28</xm:sqref>
        </x14:conditionalFormatting>
        <x14:conditionalFormatting xmlns:xm="http://schemas.microsoft.com/office/excel/2006/main">
          <x14:cfRule type="dataBar" id="{3457411B-63E5-42F5-B6BC-AFA4A8A57C27}">
            <x14:dataBar minLength="0" maxLength="100" gradient="0">
              <x14:cfvo type="num">
                <xm:f>0</xm:f>
              </x14:cfvo>
              <x14:cfvo type="num">
                <xm:f>5</xm:f>
              </x14:cfvo>
              <x14:negativeFillColor rgb="FFFF0000"/>
              <x14:axisColor rgb="FF000000"/>
            </x14:dataBar>
          </x14:cfRule>
          <xm:sqref>H9</xm:sqref>
        </x14:conditionalFormatting>
        <x14:conditionalFormatting xmlns:xm="http://schemas.microsoft.com/office/excel/2006/main">
          <x14:cfRule type="dataBar" id="{6EAFF069-C019-4377-BBFB-7EC12476F371}">
            <x14:dataBar minLength="0" maxLength="100" gradient="0">
              <x14:cfvo type="num">
                <xm:f>0</xm:f>
              </x14:cfvo>
              <x14:cfvo type="num">
                <xm:f>5</xm:f>
              </x14:cfvo>
              <x14:negativeFillColor rgb="FFFF0000"/>
              <x14:axisColor rgb="FF000000"/>
            </x14:dataBar>
          </x14:cfRule>
          <xm:sqref>F9</xm:sqref>
        </x14:conditionalFormatting>
        <x14:conditionalFormatting xmlns:xm="http://schemas.microsoft.com/office/excel/2006/main">
          <x14:cfRule type="dataBar" id="{79D95300-E371-4C15-BA0C-4BD35C7B621A}">
            <x14:dataBar minLength="0" maxLength="100" gradient="0">
              <x14:cfvo type="num">
                <xm:f>0</xm:f>
              </x14:cfvo>
              <x14:cfvo type="num">
                <xm:f>5</xm:f>
              </x14:cfvo>
              <x14:negativeFillColor rgb="FFFF0000"/>
              <x14:axisColor rgb="FF000000"/>
            </x14:dataBar>
          </x14:cfRule>
          <xm:sqref>H15</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2">
    <tabColor rgb="FFFF0000"/>
    <pageSetUpPr autoPageBreaks="0" fitToPage="1"/>
  </sheetPr>
  <dimension ref="A2:AI28"/>
  <sheetViews>
    <sheetView showGridLines="0" showRowColHeaders="0" zoomScaleNormal="100" workbookViewId="0">
      <pane ySplit="7" topLeftCell="A8" activePane="bottomLeft" state="frozen"/>
      <selection pane="bottomLeft" sqref="A1:D5041"/>
    </sheetView>
  </sheetViews>
  <sheetFormatPr defaultColWidth="9.140625" defaultRowHeight="15" x14ac:dyDescent="0.25"/>
  <cols>
    <col min="1" max="1" width="9.28515625" style="21" hidden="1" customWidth="1"/>
    <col min="2" max="3" width="8.85546875" style="21" hidden="1" customWidth="1"/>
    <col min="4" max="4" width="6.28515625" style="135" customWidth="1"/>
    <col min="5" max="5" width="15.5703125" style="21" customWidth="1"/>
    <col min="6" max="6" width="67.42578125" style="21" customWidth="1"/>
    <col min="7" max="7" width="29.7109375" style="135" customWidth="1"/>
    <col min="8" max="8" width="7.7109375" style="135" hidden="1" customWidth="1"/>
    <col min="9" max="9" width="9.7109375" style="135" hidden="1" customWidth="1"/>
    <col min="10" max="13" width="7.7109375" style="135" hidden="1" customWidth="1"/>
    <col min="14" max="14" width="13.140625" style="21" hidden="1" customWidth="1"/>
    <col min="15" max="15" width="13.140625" style="21" customWidth="1"/>
    <col min="16" max="16" width="28.42578125" style="21" customWidth="1"/>
    <col min="17" max="17" width="41.7109375" style="21" customWidth="1"/>
    <col min="18" max="26" width="9.140625" style="21" customWidth="1"/>
    <col min="27" max="27" width="9.140625" style="21" hidden="1" customWidth="1"/>
    <col min="28" max="33" width="9.140625" style="21" customWidth="1"/>
    <col min="34" max="34" width="9.140625" style="78" hidden="1" customWidth="1"/>
    <col min="35" max="35" width="9.140625" customWidth="1"/>
    <col min="36" max="39" width="9.140625" style="21" customWidth="1"/>
    <col min="40" max="16384" width="9.140625" style="21"/>
  </cols>
  <sheetData>
    <row r="2" spans="1:35" s="53" customFormat="1" ht="15" customHeight="1" x14ac:dyDescent="0.25">
      <c r="A2" s="50"/>
      <c r="B2" s="21"/>
      <c r="C2" s="21"/>
      <c r="D2" s="135"/>
      <c r="E2" s="21"/>
      <c r="F2" s="313" t="str">
        <f ca="1">"Maturity model for Stage "&amp;LEFT(B8,1)&amp;" - "&amp;VLOOKUP(A8-1,Contents_Text,7,FALSE)</f>
        <v>Maturity model for Stage A - Preparation</v>
      </c>
      <c r="G2" s="136"/>
      <c r="H2" s="136"/>
      <c r="I2" s="136"/>
      <c r="J2" s="136"/>
      <c r="K2" s="136"/>
      <c r="L2" s="136"/>
      <c r="M2" s="136"/>
      <c r="N2" s="126"/>
      <c r="O2" s="126"/>
      <c r="P2" s="126"/>
      <c r="Q2" s="126"/>
      <c r="R2" s="126"/>
      <c r="S2" s="126"/>
      <c r="T2" s="126"/>
      <c r="U2" s="126"/>
      <c r="V2" s="126"/>
      <c r="W2" s="126"/>
      <c r="X2" s="126"/>
      <c r="Y2" s="126"/>
      <c r="Z2" s="126"/>
      <c r="AA2" s="126"/>
      <c r="AB2" s="126"/>
      <c r="AC2" s="151"/>
      <c r="AD2" s="151"/>
      <c r="AE2" s="151"/>
      <c r="AF2" s="151"/>
      <c r="AG2" s="151"/>
      <c r="AH2" s="78"/>
      <c r="AI2"/>
    </row>
    <row r="3" spans="1:35" s="53" customFormat="1" ht="15" customHeight="1" x14ac:dyDescent="0.25">
      <c r="A3" s="21"/>
      <c r="B3" s="21"/>
      <c r="C3" s="21"/>
      <c r="D3" s="135"/>
      <c r="E3" s="21"/>
      <c r="F3" s="313"/>
      <c r="G3" s="136"/>
      <c r="H3" s="136"/>
      <c r="I3" s="136"/>
      <c r="J3" s="136"/>
      <c r="K3" s="136"/>
      <c r="L3" s="136"/>
      <c r="M3" s="136"/>
      <c r="N3" s="126"/>
      <c r="O3" s="126"/>
      <c r="P3" s="126"/>
      <c r="Q3" s="126"/>
      <c r="R3" s="126"/>
      <c r="S3" s="126"/>
      <c r="T3" s="126"/>
      <c r="U3" s="126"/>
      <c r="V3" s="126"/>
      <c r="W3" s="126"/>
      <c r="X3" s="126"/>
      <c r="Y3" s="126"/>
      <c r="Z3" s="126"/>
      <c r="AA3" s="126"/>
      <c r="AB3" s="126"/>
      <c r="AC3" s="151"/>
      <c r="AD3" s="151"/>
      <c r="AE3" s="151"/>
      <c r="AF3" s="151"/>
      <c r="AG3" s="151"/>
      <c r="AH3" s="78"/>
      <c r="AI3"/>
    </row>
    <row r="4" spans="1:35" s="53" customFormat="1" ht="15" customHeight="1" x14ac:dyDescent="0.25">
      <c r="A4" s="21"/>
      <c r="B4" s="21"/>
      <c r="C4" s="21"/>
      <c r="D4" s="135"/>
      <c r="E4" s="21"/>
      <c r="F4" s="313"/>
      <c r="G4" s="136"/>
      <c r="H4" s="136"/>
      <c r="I4" s="136"/>
      <c r="J4" s="136"/>
      <c r="K4" s="136"/>
      <c r="L4" s="136"/>
      <c r="M4" s="136"/>
      <c r="N4" s="126"/>
      <c r="O4" s="126"/>
      <c r="P4" s="126"/>
      <c r="Q4" s="126"/>
      <c r="R4" s="126"/>
      <c r="S4" s="126"/>
      <c r="T4" s="126"/>
      <c r="U4" s="126"/>
      <c r="V4" s="126"/>
      <c r="W4" s="126"/>
      <c r="X4" s="126"/>
      <c r="Y4" s="126"/>
      <c r="Z4" s="126"/>
      <c r="AA4" s="126"/>
      <c r="AB4" s="126"/>
      <c r="AC4" s="151"/>
      <c r="AD4" s="151"/>
      <c r="AE4" s="151"/>
      <c r="AF4" s="151"/>
      <c r="AG4" s="151"/>
      <c r="AH4" s="78"/>
      <c r="AI4"/>
    </row>
    <row r="5" spans="1:35" s="53" customFormat="1" ht="15" customHeight="1" x14ac:dyDescent="0.25">
      <c r="A5" s="21"/>
      <c r="B5" s="21"/>
      <c r="C5" s="21"/>
      <c r="D5" s="135"/>
      <c r="E5" s="21"/>
      <c r="F5" s="313"/>
      <c r="G5" s="136"/>
      <c r="H5" s="136"/>
      <c r="I5" s="136"/>
      <c r="J5" s="136"/>
      <c r="K5" s="136"/>
      <c r="L5" s="136"/>
      <c r="M5" s="136"/>
      <c r="N5" s="126"/>
      <c r="O5" s="126"/>
      <c r="P5" s="126"/>
      <c r="Q5" s="126"/>
      <c r="R5" s="126"/>
      <c r="S5" s="126"/>
      <c r="T5" s="126"/>
      <c r="U5" s="126"/>
      <c r="V5" s="126"/>
      <c r="W5" s="126"/>
      <c r="X5" s="126"/>
      <c r="Y5" s="126"/>
      <c r="Z5" s="126"/>
      <c r="AA5" s="126"/>
      <c r="AB5" s="126"/>
      <c r="AC5" s="151"/>
      <c r="AD5" s="151"/>
      <c r="AE5" s="151"/>
      <c r="AF5" s="151"/>
      <c r="AG5" s="151"/>
      <c r="AH5" s="78"/>
      <c r="AI5"/>
    </row>
    <row r="6" spans="1:35" ht="11.25" customHeight="1" x14ac:dyDescent="0.25"/>
    <row r="7" spans="1:35" ht="36" customHeight="1" thickBot="1" x14ac:dyDescent="0.35">
      <c r="F7" s="54"/>
      <c r="G7" s="180" t="s">
        <v>47</v>
      </c>
      <c r="H7" s="180"/>
      <c r="I7" s="180"/>
      <c r="J7" s="180"/>
      <c r="K7" s="180"/>
      <c r="L7" s="180"/>
      <c r="M7" s="180"/>
      <c r="N7" s="55" t="s">
        <v>8</v>
      </c>
      <c r="O7" s="56" t="s">
        <v>194</v>
      </c>
      <c r="P7" s="57" t="s">
        <v>48</v>
      </c>
      <c r="Q7" s="57" t="s">
        <v>0</v>
      </c>
      <c r="AH7" s="204" t="s">
        <v>132</v>
      </c>
    </row>
    <row r="8" spans="1:35" s="74" customFormat="1" ht="30" customHeight="1" x14ac:dyDescent="0.25">
      <c r="A8" s="72">
        <v>2</v>
      </c>
      <c r="B8" s="73" t="str">
        <f t="shared" ref="B8:B28" si="0">VLOOKUP(A8,contentrefmockup,2,FALSE)</f>
        <v>A.1</v>
      </c>
      <c r="C8" s="20">
        <f t="shared" ref="C8:C28" si="1">VLOOKUP(A8,contentrefmockup,15,FALSE)</f>
        <v>2</v>
      </c>
      <c r="D8" s="20"/>
      <c r="E8" s="142" t="str">
        <f t="shared" ref="E8:E28" si="2">IF(C8=1,"Phase "&amp;B8,IF(C8=2,"Step "&amp;VLOOKUP(A8,contentrefmockup,4,FALSE),B8))</f>
        <v>Step 1</v>
      </c>
      <c r="F8" s="143" t="str">
        <f t="shared" ref="F8:F28" si="3">VLOOKUP(A8,contentrefmockup,7,FALSE)</f>
        <v>Maintain a technical security assurance framework</v>
      </c>
      <c r="G8" s="143"/>
      <c r="H8" s="143"/>
      <c r="I8" s="143"/>
      <c r="J8" s="143"/>
      <c r="K8" s="143"/>
      <c r="L8" s="143"/>
      <c r="M8" s="143"/>
      <c r="N8" s="143" t="str">
        <f t="shared" ref="N8:N28" ca="1" si="4">IFERROR(IF(VLOOKUP(A8,Weightings_Assessments,25,FALSE)=0,"",VLOOKUP(A8,Weightings_Assessments,25,FALSE)),"")</f>
        <v/>
      </c>
      <c r="O8" s="143" t="str">
        <f t="shared" ref="O8:O28" ca="1" si="5">IFERROR(VLOOKUP(AH8,detail_maturity_score,3,FALSE)*VLOOKUP(A8,Weightings_Assessments,23,FALSE),"")</f>
        <v/>
      </c>
      <c r="P8" s="143"/>
      <c r="Q8" s="143"/>
      <c r="R8" s="143"/>
      <c r="S8" s="143"/>
      <c r="T8" s="143"/>
      <c r="U8" s="143"/>
      <c r="V8" s="143"/>
      <c r="W8" s="143"/>
      <c r="X8" s="143"/>
      <c r="Y8" s="143"/>
      <c r="Z8" s="143"/>
      <c r="AA8" s="143"/>
      <c r="AB8" s="143"/>
      <c r="AC8" s="143"/>
      <c r="AD8" s="143"/>
      <c r="AE8" s="143"/>
      <c r="AF8" s="143"/>
      <c r="AG8" s="143"/>
      <c r="AH8" s="77"/>
      <c r="AI8"/>
    </row>
    <row r="9" spans="1:35" s="74" customFormat="1" ht="45" x14ac:dyDescent="0.25">
      <c r="A9" s="203">
        <v>3</v>
      </c>
      <c r="B9" s="73" t="str">
        <f t="shared" si="0"/>
        <v>A.1.01</v>
      </c>
      <c r="C9" s="20">
        <f t="shared" si="1"/>
        <v>5</v>
      </c>
      <c r="D9" s="20"/>
      <c r="E9" s="119" t="str">
        <f t="shared" si="2"/>
        <v>A.1.01</v>
      </c>
      <c r="F9" s="140" t="str">
        <f t="shared" si="3"/>
        <v>Do you maintain an approved technical security assurance framework, which is focused on protecting your most critical information and systems?</v>
      </c>
      <c r="G9" s="118"/>
      <c r="H9" s="139"/>
      <c r="I9" s="141"/>
      <c r="J9" s="139"/>
      <c r="K9" s="139"/>
      <c r="L9" s="139"/>
      <c r="M9" s="139"/>
      <c r="N9" s="121" t="str">
        <f t="shared" ca="1" si="4"/>
        <v>x 1</v>
      </c>
      <c r="O9" s="121" t="str">
        <f t="shared" ca="1" si="5"/>
        <v/>
      </c>
      <c r="P9" s="122"/>
      <c r="Q9" s="122"/>
      <c r="R9" s="118"/>
      <c r="S9" s="118"/>
      <c r="T9" s="118"/>
      <c r="U9" s="118"/>
      <c r="V9" s="118"/>
      <c r="W9" s="118"/>
      <c r="X9" s="118"/>
      <c r="Y9" s="118"/>
      <c r="Z9" s="123"/>
      <c r="AA9" s="118">
        <v>1</v>
      </c>
      <c r="AB9" s="118"/>
      <c r="AC9" s="118"/>
      <c r="AD9" s="118"/>
      <c r="AE9" s="118"/>
      <c r="AF9" s="118"/>
      <c r="AG9" s="118"/>
      <c r="AH9" s="77">
        <v>1</v>
      </c>
      <c r="AI9" s="13"/>
    </row>
    <row r="10" spans="1:35" s="74" customFormat="1" ht="120" x14ac:dyDescent="0.25">
      <c r="A10" s="203">
        <v>4</v>
      </c>
      <c r="B10" s="73" t="str">
        <f t="shared" si="0"/>
        <v/>
      </c>
      <c r="C10" s="20">
        <f t="shared" si="1"/>
        <v>3</v>
      </c>
      <c r="D10" s="20"/>
      <c r="E10" s="119" t="str">
        <f t="shared" si="2"/>
        <v/>
      </c>
      <c r="F10" s="138" t="str">
        <f t="shared" si="3"/>
        <v>A technical security assurance framework would typically include multiple environments for testing, a security architecture, an ongoing security monitoring services (e.g. in a SOC), an adequate range of technical security services and a balanced selection of preventative, detective and reactive security controls; supported by sufficient budget, skilled resources, processes, tools and technologies, adequate management support and an IT or Cyber security risk management programme.</v>
      </c>
      <c r="G10" s="138"/>
      <c r="H10" s="138"/>
      <c r="I10" s="138"/>
      <c r="J10" s="138"/>
      <c r="K10" s="138"/>
      <c r="L10" s="138"/>
      <c r="M10" s="138"/>
      <c r="N10" s="121" t="str">
        <f t="shared" ca="1" si="4"/>
        <v/>
      </c>
      <c r="O10" s="118" t="str">
        <f t="shared" ca="1" si="5"/>
        <v/>
      </c>
      <c r="P10" s="122"/>
      <c r="Q10" s="122"/>
      <c r="R10" s="118"/>
      <c r="S10" s="118"/>
      <c r="T10" s="118"/>
      <c r="U10" s="118"/>
      <c r="V10" s="118"/>
      <c r="W10" s="118"/>
      <c r="X10" s="118"/>
      <c r="Y10" s="118"/>
      <c r="Z10" s="123"/>
      <c r="AA10" s="118"/>
      <c r="AB10" s="118"/>
      <c r="AC10" s="118"/>
      <c r="AD10" s="118"/>
      <c r="AE10" s="118"/>
      <c r="AF10" s="118"/>
      <c r="AG10" s="118"/>
      <c r="AH10" s="202"/>
      <c r="AI10" s="13"/>
    </row>
    <row r="11" spans="1:35" s="74" customFormat="1" ht="30" customHeight="1" x14ac:dyDescent="0.25">
      <c r="A11" s="72">
        <v>5</v>
      </c>
      <c r="B11" s="73" t="str">
        <f t="shared" si="0"/>
        <v>A.2</v>
      </c>
      <c r="C11" s="20">
        <f t="shared" si="1"/>
        <v>2</v>
      </c>
      <c r="D11" s="20"/>
      <c r="E11" s="142" t="str">
        <f t="shared" si="2"/>
        <v>Step 2</v>
      </c>
      <c r="F11" s="143" t="str">
        <f t="shared" si="3"/>
        <v>Establish a penetration testing governance structure</v>
      </c>
      <c r="G11" s="143"/>
      <c r="H11" s="143"/>
      <c r="I11" s="143"/>
      <c r="J11" s="143"/>
      <c r="K11" s="143"/>
      <c r="L11" s="143"/>
      <c r="M11" s="143"/>
      <c r="N11" s="143" t="str">
        <f t="shared" ca="1" si="4"/>
        <v/>
      </c>
      <c r="O11" s="143" t="str">
        <f t="shared" ca="1" si="5"/>
        <v/>
      </c>
      <c r="P11" s="143"/>
      <c r="Q11" s="143"/>
      <c r="R11" s="143"/>
      <c r="S11" s="143"/>
      <c r="T11" s="143"/>
      <c r="U11" s="143"/>
      <c r="V11" s="143"/>
      <c r="W11" s="143"/>
      <c r="X11" s="143"/>
      <c r="Y11" s="143"/>
      <c r="Z11" s="143"/>
      <c r="AA11" s="143"/>
      <c r="AB11" s="143"/>
      <c r="AC11" s="143"/>
      <c r="AD11" s="143"/>
      <c r="AE11" s="143"/>
      <c r="AF11" s="143"/>
      <c r="AG11" s="143"/>
      <c r="AH11" s="77"/>
      <c r="AI11" s="13"/>
    </row>
    <row r="12" spans="1:35" s="74" customFormat="1" ht="30" x14ac:dyDescent="0.25">
      <c r="A12" s="203">
        <v>6</v>
      </c>
      <c r="B12" s="73" t="str">
        <f t="shared" si="0"/>
        <v>A.2.01</v>
      </c>
      <c r="C12" s="20">
        <f t="shared" si="1"/>
        <v>5</v>
      </c>
      <c r="D12" s="20"/>
      <c r="E12" s="119" t="str">
        <f t="shared" si="2"/>
        <v>A.2.01</v>
      </c>
      <c r="F12" s="140" t="str">
        <f t="shared" si="3"/>
        <v>Have you established a suitable governance structure to oversee and coordinate a regular penetration testing programme?</v>
      </c>
      <c r="G12" s="118"/>
      <c r="H12" s="139"/>
      <c r="I12" s="141"/>
      <c r="J12" s="139"/>
      <c r="K12" s="139"/>
      <c r="L12" s="139"/>
      <c r="M12" s="139"/>
      <c r="N12" s="121" t="str">
        <f t="shared" ca="1" si="4"/>
        <v>x 1</v>
      </c>
      <c r="O12" s="121" t="str">
        <f t="shared" ca="1" si="5"/>
        <v/>
      </c>
      <c r="P12" s="122"/>
      <c r="Q12" s="122"/>
      <c r="R12" s="118"/>
      <c r="S12" s="118"/>
      <c r="T12" s="118"/>
      <c r="U12" s="118"/>
      <c r="V12" s="118"/>
      <c r="W12" s="118"/>
      <c r="X12" s="118"/>
      <c r="Y12" s="118"/>
      <c r="Z12" s="123"/>
      <c r="AA12" s="118">
        <v>1</v>
      </c>
      <c r="AB12" s="118"/>
      <c r="AC12" s="118"/>
      <c r="AD12" s="118"/>
      <c r="AE12" s="118"/>
      <c r="AF12" s="118"/>
      <c r="AG12" s="118"/>
      <c r="AH12" s="77">
        <v>1</v>
      </c>
      <c r="AI12" s="13"/>
    </row>
    <row r="13" spans="1:35" s="74" customFormat="1" ht="135" x14ac:dyDescent="0.25">
      <c r="A13" s="203">
        <v>7</v>
      </c>
      <c r="B13" s="73" t="str">
        <f t="shared" si="0"/>
        <v/>
      </c>
      <c r="C13" s="20">
        <f t="shared" si="1"/>
        <v>3</v>
      </c>
      <c r="D13" s="20"/>
      <c r="E13" s="119" t="str">
        <f t="shared" si="2"/>
        <v/>
      </c>
      <c r="F13" s="138" t="str">
        <f t="shared" si="3"/>
        <v>An effective governance structure for penetration testing would typically cover all main systems enterprise-wide (while focusing on the most critical), through a penetration testing programme that includes penetration testing processes and methodologies, supplier selection criteria, and a penetration testing assurance management framework; supported by a joint management and technical team to agree the programme and scope of regular penetration testing, an effective change management process and a set of key performance indicators for the results of the penetration tests.</v>
      </c>
      <c r="G13" s="138"/>
      <c r="H13" s="138"/>
      <c r="I13" s="138"/>
      <c r="J13" s="138"/>
      <c r="K13" s="138"/>
      <c r="L13" s="138"/>
      <c r="M13" s="138"/>
      <c r="N13" s="121" t="str">
        <f t="shared" ca="1" si="4"/>
        <v/>
      </c>
      <c r="O13" s="118" t="str">
        <f t="shared" ca="1" si="5"/>
        <v/>
      </c>
      <c r="P13" s="122"/>
      <c r="Q13" s="122"/>
      <c r="R13" s="118"/>
      <c r="S13" s="118"/>
      <c r="T13" s="118"/>
      <c r="U13" s="118"/>
      <c r="V13" s="118"/>
      <c r="W13" s="118"/>
      <c r="X13" s="118"/>
      <c r="Y13" s="118"/>
      <c r="Z13" s="123"/>
      <c r="AA13" s="118"/>
      <c r="AB13" s="118"/>
      <c r="AC13" s="118"/>
      <c r="AD13" s="118"/>
      <c r="AE13" s="118"/>
      <c r="AF13" s="118"/>
      <c r="AG13" s="118"/>
      <c r="AH13" s="202">
        <v>1</v>
      </c>
      <c r="AI13" s="13"/>
    </row>
    <row r="14" spans="1:35" s="74" customFormat="1" ht="30" customHeight="1" x14ac:dyDescent="0.25">
      <c r="A14" s="72">
        <v>8</v>
      </c>
      <c r="B14" s="73" t="str">
        <f t="shared" si="0"/>
        <v>A.3</v>
      </c>
      <c r="C14" s="20">
        <f t="shared" si="1"/>
        <v>2</v>
      </c>
      <c r="D14" s="20"/>
      <c r="E14" s="142" t="str">
        <f t="shared" si="2"/>
        <v>Step 3</v>
      </c>
      <c r="F14" s="143" t="str">
        <f t="shared" si="3"/>
        <v>Evaluate drivers for conducting penetration tests</v>
      </c>
      <c r="G14" s="143"/>
      <c r="H14" s="143"/>
      <c r="I14" s="143"/>
      <c r="J14" s="143"/>
      <c r="K14" s="143"/>
      <c r="L14" s="143"/>
      <c r="M14" s="143"/>
      <c r="N14" s="143" t="str">
        <f t="shared" ca="1" si="4"/>
        <v/>
      </c>
      <c r="O14" s="143" t="str">
        <f t="shared" ca="1" si="5"/>
        <v/>
      </c>
      <c r="P14" s="143"/>
      <c r="Q14" s="143"/>
      <c r="R14" s="143"/>
      <c r="S14" s="143"/>
      <c r="T14" s="143"/>
      <c r="U14" s="143"/>
      <c r="V14" s="143"/>
      <c r="W14" s="143"/>
      <c r="X14" s="143"/>
      <c r="Y14" s="143"/>
      <c r="Z14" s="143"/>
      <c r="AA14" s="143"/>
      <c r="AB14" s="143"/>
      <c r="AC14" s="143"/>
      <c r="AD14" s="143"/>
      <c r="AE14" s="143"/>
      <c r="AF14" s="143"/>
      <c r="AG14" s="143"/>
      <c r="AH14" s="77"/>
      <c r="AI14" s="13"/>
    </row>
    <row r="15" spans="1:35" s="125" customFormat="1" ht="60" x14ac:dyDescent="0.25">
      <c r="A15" s="137">
        <v>9</v>
      </c>
      <c r="B15" s="117" t="str">
        <f t="shared" si="0"/>
        <v>A.3.01</v>
      </c>
      <c r="C15" s="118">
        <f t="shared" si="1"/>
        <v>5</v>
      </c>
      <c r="D15" s="87"/>
      <c r="E15" s="119" t="str">
        <f t="shared" si="2"/>
        <v>A.3.01</v>
      </c>
      <c r="F15" s="140" t="str">
        <f t="shared" si="3"/>
        <v>Have you identified drivers for carrying out penetration tests as part of a technical assurance programme, based on an evaluation of relevant criteria, such as the impact of serious incidents, increased threat levels or significant changes to business or IT processes?</v>
      </c>
      <c r="G15" s="118"/>
      <c r="H15" s="139"/>
      <c r="I15" s="141"/>
      <c r="J15" s="139"/>
      <c r="K15" s="139"/>
      <c r="L15" s="139"/>
      <c r="M15" s="139"/>
      <c r="N15" s="121" t="str">
        <f t="shared" ca="1" si="4"/>
        <v>x 1</v>
      </c>
      <c r="O15" s="121" t="str">
        <f t="shared" ca="1" si="5"/>
        <v/>
      </c>
      <c r="P15" s="122"/>
      <c r="Q15" s="122"/>
      <c r="R15" s="118"/>
      <c r="S15" s="118"/>
      <c r="T15" s="118"/>
      <c r="U15" s="118"/>
      <c r="V15" s="118"/>
      <c r="W15" s="118"/>
      <c r="X15" s="118"/>
      <c r="Y15" s="118"/>
      <c r="Z15" s="123"/>
      <c r="AA15" s="118">
        <v>1</v>
      </c>
      <c r="AB15" s="118"/>
      <c r="AC15" s="118"/>
      <c r="AD15" s="118"/>
      <c r="AE15" s="118"/>
      <c r="AF15" s="118"/>
      <c r="AG15" s="118"/>
      <c r="AH15" s="124">
        <v>1</v>
      </c>
      <c r="AI15"/>
    </row>
    <row r="16" spans="1:35" s="125" customFormat="1" ht="90" x14ac:dyDescent="0.25">
      <c r="A16" s="137">
        <v>10</v>
      </c>
      <c r="B16" s="117" t="str">
        <f t="shared" si="0"/>
        <v/>
      </c>
      <c r="C16" s="118">
        <f t="shared" si="1"/>
        <v>3</v>
      </c>
      <c r="D16" s="87"/>
      <c r="E16" s="119" t="str">
        <f t="shared" si="2"/>
        <v/>
      </c>
      <c r="F16" s="138" t="str">
        <f t="shared" si="3"/>
        <v>Drivers for carrying out penetration tests should: be placed within a wider context of security assessment and strategy to contextualise the findings and recommendations; focus on ensuring that major system vulnerabilities are identified and addressed; and help to reduce the risk of discovering that the same problems still exist the next time a penetration test is carried out.</v>
      </c>
      <c r="G16" s="138"/>
      <c r="H16" s="138"/>
      <c r="I16" s="138"/>
      <c r="J16" s="138"/>
      <c r="K16" s="138"/>
      <c r="L16" s="138"/>
      <c r="M16" s="138"/>
      <c r="N16" s="121" t="str">
        <f t="shared" ca="1" si="4"/>
        <v/>
      </c>
      <c r="O16" s="118" t="str">
        <f t="shared" ca="1" si="5"/>
        <v/>
      </c>
      <c r="P16" s="122"/>
      <c r="Q16" s="122"/>
      <c r="R16" s="118"/>
      <c r="S16" s="118"/>
      <c r="T16" s="118"/>
      <c r="U16" s="118"/>
      <c r="V16" s="118"/>
      <c r="W16" s="118"/>
      <c r="X16" s="118"/>
      <c r="Y16" s="118"/>
      <c r="Z16" s="123"/>
      <c r="AA16" s="118"/>
      <c r="AB16" s="118"/>
      <c r="AC16" s="118"/>
      <c r="AD16" s="118"/>
      <c r="AE16" s="118"/>
      <c r="AF16" s="118"/>
      <c r="AG16" s="118"/>
      <c r="AH16" s="121">
        <v>1</v>
      </c>
      <c r="AI16" s="13"/>
    </row>
    <row r="17" spans="1:35" s="125" customFormat="1" ht="30" customHeight="1" x14ac:dyDescent="0.25">
      <c r="A17" s="134">
        <v>11</v>
      </c>
      <c r="B17" s="117" t="str">
        <f t="shared" si="0"/>
        <v>A.4</v>
      </c>
      <c r="C17" s="118">
        <f t="shared" si="1"/>
        <v>2</v>
      </c>
      <c r="D17" s="87"/>
      <c r="E17" s="142" t="str">
        <f t="shared" si="2"/>
        <v>Step 4</v>
      </c>
      <c r="F17" s="143" t="str">
        <f t="shared" si="3"/>
        <v>Identify target environments</v>
      </c>
      <c r="G17" s="143"/>
      <c r="H17" s="143"/>
      <c r="I17" s="143"/>
      <c r="J17" s="143"/>
      <c r="K17" s="143"/>
      <c r="L17" s="143"/>
      <c r="M17" s="143"/>
      <c r="N17" s="143" t="str">
        <f t="shared" ca="1" si="4"/>
        <v/>
      </c>
      <c r="O17" s="143" t="str">
        <f t="shared" ca="1" si="5"/>
        <v/>
      </c>
      <c r="P17" s="143"/>
      <c r="Q17" s="143"/>
      <c r="R17" s="143"/>
      <c r="S17" s="143"/>
      <c r="T17" s="143"/>
      <c r="U17" s="143"/>
      <c r="V17" s="143"/>
      <c r="W17" s="143"/>
      <c r="X17" s="143"/>
      <c r="Y17" s="143"/>
      <c r="Z17" s="143"/>
      <c r="AA17" s="143"/>
      <c r="AB17" s="143"/>
      <c r="AC17" s="143"/>
      <c r="AD17" s="143"/>
      <c r="AE17" s="143"/>
      <c r="AF17" s="143"/>
      <c r="AG17" s="143"/>
      <c r="AH17" s="124"/>
      <c r="AI17" s="13"/>
    </row>
    <row r="18" spans="1:35" s="125" customFormat="1" ht="45" x14ac:dyDescent="0.25">
      <c r="A18" s="137">
        <v>12</v>
      </c>
      <c r="B18" s="117" t="str">
        <f t="shared" si="0"/>
        <v>A.4.01</v>
      </c>
      <c r="C18" s="118">
        <f t="shared" si="1"/>
        <v>5</v>
      </c>
      <c r="D18" s="87"/>
      <c r="E18" s="119" t="str">
        <f t="shared" si="2"/>
        <v>A.4.01</v>
      </c>
      <c r="F18" s="140" t="str">
        <f t="shared" si="3"/>
        <v>Have you identified target environments that need to be subject to penetration testing, such as critical web applications and important IT infrastructure?</v>
      </c>
      <c r="G18" s="118"/>
      <c r="H18" s="139"/>
      <c r="I18" s="141"/>
      <c r="J18" s="139"/>
      <c r="K18" s="139"/>
      <c r="L18" s="139"/>
      <c r="M18" s="139"/>
      <c r="N18" s="121" t="str">
        <f t="shared" ca="1" si="4"/>
        <v>x 1</v>
      </c>
      <c r="O18" s="121" t="str">
        <f t="shared" ca="1" si="5"/>
        <v/>
      </c>
      <c r="P18" s="122"/>
      <c r="Q18" s="122"/>
      <c r="R18" s="118"/>
      <c r="S18" s="118"/>
      <c r="T18" s="118"/>
      <c r="U18" s="118"/>
      <c r="V18" s="118"/>
      <c r="W18" s="118"/>
      <c r="X18" s="118"/>
      <c r="Y18" s="118"/>
      <c r="Z18" s="123"/>
      <c r="AA18" s="118">
        <v>1</v>
      </c>
      <c r="AB18" s="118"/>
      <c r="AC18" s="118"/>
      <c r="AD18" s="118"/>
      <c r="AE18" s="118"/>
      <c r="AF18" s="118"/>
      <c r="AG18" s="118"/>
      <c r="AH18" s="124">
        <v>1</v>
      </c>
      <c r="AI18" s="13"/>
    </row>
    <row r="19" spans="1:35" s="125" customFormat="1" ht="75" x14ac:dyDescent="0.25">
      <c r="A19" s="137">
        <v>13</v>
      </c>
      <c r="B19" s="117" t="str">
        <f t="shared" si="0"/>
        <v/>
      </c>
      <c r="C19" s="118">
        <f t="shared" si="1"/>
        <v>3</v>
      </c>
      <c r="D19" s="87"/>
      <c r="E19" s="119" t="str">
        <f t="shared" si="2"/>
        <v/>
      </c>
      <c r="F19" s="138" t="str">
        <f t="shared" si="3"/>
        <v>Identification of target environments that need to be subject to penetration testing should take account of a wide range of factors including compliance requirements, system criticality and significant changes to critical business processes, as well as being built into relevant stages of systems under development.</v>
      </c>
      <c r="G19" s="138"/>
      <c r="H19" s="138"/>
      <c r="I19" s="138"/>
      <c r="J19" s="138"/>
      <c r="K19" s="138"/>
      <c r="L19" s="138"/>
      <c r="M19" s="138"/>
      <c r="N19" s="121" t="str">
        <f t="shared" ca="1" si="4"/>
        <v/>
      </c>
      <c r="O19" s="118" t="str">
        <f t="shared" ca="1" si="5"/>
        <v/>
      </c>
      <c r="P19" s="122"/>
      <c r="Q19" s="122"/>
      <c r="R19" s="118"/>
      <c r="S19" s="118"/>
      <c r="T19" s="118"/>
      <c r="U19" s="118"/>
      <c r="V19" s="118"/>
      <c r="W19" s="118"/>
      <c r="X19" s="118"/>
      <c r="Y19" s="118"/>
      <c r="Z19" s="123"/>
      <c r="AA19" s="118"/>
      <c r="AB19" s="118"/>
      <c r="AC19" s="118"/>
      <c r="AD19" s="118"/>
      <c r="AE19" s="118"/>
      <c r="AF19" s="118"/>
      <c r="AG19" s="118"/>
      <c r="AH19" s="121">
        <v>1</v>
      </c>
      <c r="AI19" s="13"/>
    </row>
    <row r="20" spans="1:35" s="125" customFormat="1" ht="30" customHeight="1" x14ac:dyDescent="0.25">
      <c r="A20" s="134">
        <v>14</v>
      </c>
      <c r="B20" s="117" t="str">
        <f t="shared" si="0"/>
        <v>A.5</v>
      </c>
      <c r="C20" s="118">
        <f t="shared" si="1"/>
        <v>2</v>
      </c>
      <c r="D20" s="87"/>
      <c r="E20" s="142" t="str">
        <f t="shared" si="2"/>
        <v>Step 5</v>
      </c>
      <c r="F20" s="143" t="str">
        <f t="shared" si="3"/>
        <v>Define the purpose of the penetration tests</v>
      </c>
      <c r="G20" s="143"/>
      <c r="H20" s="143"/>
      <c r="I20" s="143"/>
      <c r="J20" s="143"/>
      <c r="K20" s="143"/>
      <c r="L20" s="143"/>
      <c r="M20" s="143"/>
      <c r="N20" s="143" t="str">
        <f t="shared" ca="1" si="4"/>
        <v/>
      </c>
      <c r="O20" s="143" t="str">
        <f t="shared" ca="1" si="5"/>
        <v/>
      </c>
      <c r="P20" s="143"/>
      <c r="Q20" s="143"/>
      <c r="R20" s="143"/>
      <c r="S20" s="143"/>
      <c r="T20" s="143"/>
      <c r="U20" s="143"/>
      <c r="V20" s="143"/>
      <c r="W20" s="143"/>
      <c r="X20" s="143"/>
      <c r="Y20" s="143"/>
      <c r="Z20" s="143"/>
      <c r="AA20" s="143"/>
      <c r="AB20" s="143"/>
      <c r="AC20" s="143"/>
      <c r="AD20" s="143"/>
      <c r="AE20" s="143"/>
      <c r="AF20" s="143"/>
      <c r="AG20" s="143"/>
      <c r="AH20" s="124"/>
      <c r="AI20" s="13"/>
    </row>
    <row r="21" spans="1:35" s="125" customFormat="1" ht="30" x14ac:dyDescent="0.25">
      <c r="A21" s="137">
        <v>15</v>
      </c>
      <c r="B21" s="117" t="str">
        <f t="shared" si="0"/>
        <v>A.5.01</v>
      </c>
      <c r="C21" s="118">
        <f t="shared" si="1"/>
        <v>5</v>
      </c>
      <c r="D21" s="87"/>
      <c r="E21" s="119" t="str">
        <f t="shared" si="2"/>
        <v>A.5.01</v>
      </c>
      <c r="F21" s="140" t="str">
        <f t="shared" si="3"/>
        <v>Do you define the purpose of penetration tests, evaluating the potential benefits to your organisation?</v>
      </c>
      <c r="G21" s="118"/>
      <c r="H21" s="139"/>
      <c r="I21" s="141"/>
      <c r="J21" s="139"/>
      <c r="K21" s="139"/>
      <c r="L21" s="139"/>
      <c r="M21" s="139"/>
      <c r="N21" s="121" t="str">
        <f t="shared" ca="1" si="4"/>
        <v>x 1</v>
      </c>
      <c r="O21" s="121" t="str">
        <f t="shared" ca="1" si="5"/>
        <v/>
      </c>
      <c r="P21" s="122"/>
      <c r="Q21" s="122"/>
      <c r="R21" s="118"/>
      <c r="S21" s="118"/>
      <c r="T21" s="118"/>
      <c r="U21" s="118"/>
      <c r="V21" s="118"/>
      <c r="W21" s="118"/>
      <c r="X21" s="118"/>
      <c r="Y21" s="118"/>
      <c r="Z21" s="123"/>
      <c r="AA21" s="118">
        <v>1</v>
      </c>
      <c r="AB21" s="118"/>
      <c r="AC21" s="118"/>
      <c r="AD21" s="118"/>
      <c r="AE21" s="118"/>
      <c r="AF21" s="118"/>
      <c r="AG21" s="118"/>
      <c r="AH21" s="124">
        <v>1</v>
      </c>
      <c r="AI21" s="13"/>
    </row>
    <row r="22" spans="1:35" s="125" customFormat="1" ht="120" x14ac:dyDescent="0.25">
      <c r="A22" s="137">
        <v>16</v>
      </c>
      <c r="B22" s="117" t="str">
        <f t="shared" si="0"/>
        <v/>
      </c>
      <c r="C22" s="118">
        <f t="shared" si="1"/>
        <v>3</v>
      </c>
      <c r="D22" s="87"/>
      <c r="E22" s="119" t="str">
        <f t="shared" si="2"/>
        <v/>
      </c>
      <c r="F22" s="138" t="str">
        <f t="shared" si="3"/>
        <v>Identifying the purpose of penetration tests should include assessing whether these tests can help your organisation to meet requirements (e.g. identify weaknesses in your security controls; reduce the frequency and impact of security incidents; comply with legal and regulatory requirements); and realise potential benefits (e.g. IT cost reductions; technical and business improvements; greater awareness of security risks and controls) – whilst taking account of any testing limitations or difficulties.</v>
      </c>
      <c r="G22" s="138"/>
      <c r="H22" s="138"/>
      <c r="I22" s="138"/>
      <c r="J22" s="138"/>
      <c r="K22" s="138"/>
      <c r="L22" s="138"/>
      <c r="M22" s="138"/>
      <c r="N22" s="121" t="str">
        <f t="shared" ca="1" si="4"/>
        <v/>
      </c>
      <c r="O22" s="118" t="str">
        <f t="shared" ca="1" si="5"/>
        <v/>
      </c>
      <c r="P22" s="122"/>
      <c r="Q22" s="122"/>
      <c r="R22" s="118"/>
      <c r="S22" s="118"/>
      <c r="T22" s="118"/>
      <c r="U22" s="118"/>
      <c r="V22" s="118"/>
      <c r="W22" s="118"/>
      <c r="X22" s="118"/>
      <c r="Y22" s="118"/>
      <c r="Z22" s="123"/>
      <c r="AA22" s="118"/>
      <c r="AB22" s="118"/>
      <c r="AC22" s="118"/>
      <c r="AD22" s="118"/>
      <c r="AE22" s="118"/>
      <c r="AF22" s="118"/>
      <c r="AG22" s="118"/>
      <c r="AH22" s="121">
        <v>1</v>
      </c>
      <c r="AI22" s="13"/>
    </row>
    <row r="23" spans="1:35" s="125" customFormat="1" ht="30" customHeight="1" x14ac:dyDescent="0.25">
      <c r="A23" s="134">
        <v>17</v>
      </c>
      <c r="B23" s="117" t="str">
        <f t="shared" si="0"/>
        <v>A.6</v>
      </c>
      <c r="C23" s="118">
        <f t="shared" si="1"/>
        <v>2</v>
      </c>
      <c r="D23" s="87"/>
      <c r="E23" s="142" t="str">
        <f t="shared" si="2"/>
        <v>Step 6</v>
      </c>
      <c r="F23" s="143" t="str">
        <f t="shared" si="3"/>
        <v>Produce requirements specifications</v>
      </c>
      <c r="G23" s="143"/>
      <c r="H23" s="143"/>
      <c r="I23" s="143"/>
      <c r="J23" s="143"/>
      <c r="K23" s="143"/>
      <c r="L23" s="143"/>
      <c r="M23" s="143"/>
      <c r="N23" s="143" t="str">
        <f t="shared" ca="1" si="4"/>
        <v/>
      </c>
      <c r="O23" s="143" t="str">
        <f t="shared" ca="1" si="5"/>
        <v/>
      </c>
      <c r="P23" s="143"/>
      <c r="Q23" s="143"/>
      <c r="R23" s="143"/>
      <c r="S23" s="143"/>
      <c r="T23" s="143"/>
      <c r="U23" s="143"/>
      <c r="V23" s="143"/>
      <c r="W23" s="143"/>
      <c r="X23" s="143"/>
      <c r="Y23" s="143"/>
      <c r="Z23" s="143"/>
      <c r="AA23" s="143"/>
      <c r="AB23" s="143"/>
      <c r="AC23" s="143"/>
      <c r="AD23" s="143"/>
      <c r="AE23" s="143"/>
      <c r="AF23" s="143"/>
      <c r="AG23" s="143"/>
      <c r="AH23" s="124"/>
      <c r="AI23" s="13"/>
    </row>
    <row r="24" spans="1:35" s="125" customFormat="1" ht="30" x14ac:dyDescent="0.25">
      <c r="A24" s="137">
        <v>18</v>
      </c>
      <c r="B24" s="117" t="str">
        <f t="shared" si="0"/>
        <v>A.6.01</v>
      </c>
      <c r="C24" s="118">
        <f t="shared" si="1"/>
        <v>5</v>
      </c>
      <c r="D24" s="87"/>
      <c r="E24" s="119" t="str">
        <f t="shared" si="2"/>
        <v>A.6.01</v>
      </c>
      <c r="F24" s="140" t="str">
        <f t="shared" si="3"/>
        <v>Do you define formal requirements for penetration testing carried out in your organisation?</v>
      </c>
      <c r="G24" s="118"/>
      <c r="H24" s="139"/>
      <c r="I24" s="141"/>
      <c r="J24" s="139"/>
      <c r="K24" s="139"/>
      <c r="L24" s="139"/>
      <c r="M24" s="139"/>
      <c r="N24" s="121" t="str">
        <f t="shared" ca="1" si="4"/>
        <v>x 1</v>
      </c>
      <c r="O24" s="121" t="str">
        <f t="shared" ca="1" si="5"/>
        <v/>
      </c>
      <c r="P24" s="122"/>
      <c r="Q24" s="122"/>
      <c r="R24" s="118"/>
      <c r="S24" s="118"/>
      <c r="T24" s="118"/>
      <c r="U24" s="118"/>
      <c r="V24" s="118"/>
      <c r="W24" s="118"/>
      <c r="X24" s="118"/>
      <c r="Y24" s="118"/>
      <c r="Z24" s="123"/>
      <c r="AA24" s="118">
        <v>1</v>
      </c>
      <c r="AB24" s="118"/>
      <c r="AC24" s="118"/>
      <c r="AD24" s="118"/>
      <c r="AE24" s="118"/>
      <c r="AF24" s="118"/>
      <c r="AG24" s="118"/>
      <c r="AH24" s="124">
        <v>1</v>
      </c>
      <c r="AI24" s="13"/>
    </row>
    <row r="25" spans="1:35" s="125" customFormat="1" ht="75" x14ac:dyDescent="0.25">
      <c r="A25" s="137">
        <v>19</v>
      </c>
      <c r="B25" s="117" t="str">
        <f t="shared" si="0"/>
        <v/>
      </c>
      <c r="C25" s="118">
        <f t="shared" si="1"/>
        <v>3</v>
      </c>
      <c r="D25" s="87"/>
      <c r="E25" s="119" t="str">
        <f t="shared" si="2"/>
        <v/>
      </c>
      <c r="F25" s="138" t="str">
        <f t="shared" si="3"/>
        <v>Requirements for penetration testing should include consideration of important business applications, key IT infrastructure and confidential data; validation that tests are legal and will not compromise confidential data; and the need for tests to be recorded, reviewed and signed-off.</v>
      </c>
      <c r="G25" s="138"/>
      <c r="H25" s="138"/>
      <c r="I25" s="138"/>
      <c r="J25" s="138"/>
      <c r="K25" s="138"/>
      <c r="L25" s="138"/>
      <c r="M25" s="138"/>
      <c r="N25" s="121" t="str">
        <f t="shared" ca="1" si="4"/>
        <v/>
      </c>
      <c r="O25" s="118" t="str">
        <f t="shared" ca="1" si="5"/>
        <v/>
      </c>
      <c r="P25" s="122"/>
      <c r="Q25" s="122"/>
      <c r="R25" s="118"/>
      <c r="S25" s="118"/>
      <c r="T25" s="118"/>
      <c r="U25" s="118"/>
      <c r="V25" s="118"/>
      <c r="W25" s="118"/>
      <c r="X25" s="118"/>
      <c r="Y25" s="118"/>
      <c r="Z25" s="123"/>
      <c r="AA25" s="118"/>
      <c r="AB25" s="118"/>
      <c r="AC25" s="118"/>
      <c r="AD25" s="118"/>
      <c r="AE25" s="118"/>
      <c r="AF25" s="118"/>
      <c r="AG25" s="118"/>
      <c r="AH25" s="121">
        <v>1</v>
      </c>
      <c r="AI25" s="13"/>
    </row>
    <row r="26" spans="1:35" s="125" customFormat="1" ht="30" customHeight="1" x14ac:dyDescent="0.25">
      <c r="A26" s="134">
        <v>20</v>
      </c>
      <c r="B26" s="117" t="str">
        <f t="shared" si="0"/>
        <v>A.7</v>
      </c>
      <c r="C26" s="118">
        <f t="shared" si="1"/>
        <v>2</v>
      </c>
      <c r="D26" s="87"/>
      <c r="E26" s="142" t="str">
        <f t="shared" si="2"/>
        <v>Step 7</v>
      </c>
      <c r="F26" s="143" t="str">
        <f t="shared" si="3"/>
        <v>Select suitable suppliers</v>
      </c>
      <c r="G26" s="143"/>
      <c r="H26" s="143"/>
      <c r="I26" s="143"/>
      <c r="J26" s="143"/>
      <c r="K26" s="143"/>
      <c r="L26" s="143"/>
      <c r="M26" s="143"/>
      <c r="N26" s="143" t="str">
        <f t="shared" ca="1" si="4"/>
        <v/>
      </c>
      <c r="O26" s="143" t="str">
        <f t="shared" ca="1" si="5"/>
        <v/>
      </c>
      <c r="P26" s="143"/>
      <c r="Q26" s="143"/>
      <c r="R26" s="143"/>
      <c r="S26" s="143"/>
      <c r="T26" s="143"/>
      <c r="U26" s="143"/>
      <c r="V26" s="143"/>
      <c r="W26" s="143"/>
      <c r="X26" s="143"/>
      <c r="Y26" s="143"/>
      <c r="Z26" s="143"/>
      <c r="AA26" s="143"/>
      <c r="AB26" s="143"/>
      <c r="AC26" s="143"/>
      <c r="AD26" s="143"/>
      <c r="AE26" s="143"/>
      <c r="AF26" s="143"/>
      <c r="AG26" s="143"/>
      <c r="AH26" s="124"/>
      <c r="AI26" s="13"/>
    </row>
    <row r="27" spans="1:35" s="125" customFormat="1" ht="60" x14ac:dyDescent="0.25">
      <c r="A27" s="137">
        <v>21</v>
      </c>
      <c r="B27" s="117" t="str">
        <f t="shared" si="0"/>
        <v>A.7.01</v>
      </c>
      <c r="C27" s="118">
        <f t="shared" si="1"/>
        <v>5</v>
      </c>
      <c r="D27" s="87"/>
      <c r="E27" s="119" t="str">
        <f t="shared" si="2"/>
        <v>A.7.01</v>
      </c>
      <c r="F27" s="140" t="str">
        <f t="shared" si="3"/>
        <v>Do you appoint suitable third party suppliers to undertake independent penetration testing (based on defined requirements, benefit evaluation, specified supplier selection criteria and validation of the supplier’s ability to meet your specific requirements)?</v>
      </c>
      <c r="G27" s="118"/>
      <c r="H27" s="139"/>
      <c r="I27" s="141"/>
      <c r="J27" s="139"/>
      <c r="K27" s="139"/>
      <c r="L27" s="139"/>
      <c r="M27" s="139"/>
      <c r="N27" s="121" t="str">
        <f t="shared" ca="1" si="4"/>
        <v>x 1</v>
      </c>
      <c r="O27" s="121" t="str">
        <f t="shared" ca="1" si="5"/>
        <v/>
      </c>
      <c r="P27" s="122"/>
      <c r="Q27" s="122"/>
      <c r="R27" s="118"/>
      <c r="S27" s="118"/>
      <c r="T27" s="118"/>
      <c r="U27" s="118"/>
      <c r="V27" s="118"/>
      <c r="W27" s="118"/>
      <c r="X27" s="118"/>
      <c r="Y27" s="118"/>
      <c r="Z27" s="123"/>
      <c r="AA27" s="118">
        <v>1</v>
      </c>
      <c r="AB27" s="118"/>
      <c r="AC27" s="118"/>
      <c r="AD27" s="118"/>
      <c r="AE27" s="118"/>
      <c r="AF27" s="118"/>
      <c r="AG27" s="118"/>
      <c r="AH27" s="124">
        <v>1</v>
      </c>
      <c r="AI27" s="13"/>
    </row>
    <row r="28" spans="1:35" s="125" customFormat="1" ht="105" x14ac:dyDescent="0.25">
      <c r="A28" s="137">
        <v>22</v>
      </c>
      <c r="B28" s="117" t="str">
        <f t="shared" si="0"/>
        <v/>
      </c>
      <c r="C28" s="118">
        <f t="shared" si="1"/>
        <v>3</v>
      </c>
      <c r="D28" s="87"/>
      <c r="E28" s="119" t="str">
        <f t="shared" si="2"/>
        <v/>
      </c>
      <c r="F28" s="138" t="str">
        <f t="shared" si="3"/>
        <v>Effective supplier selection criteria should be used to determine if potential suppliers can satisfactorily meet your specific testing requirements, based on their ability to provide: solid reputation, history and ethics; high quality, value-for-money services; research and development capability; highly competent, technical testers; and security and risk management, supported by a strong professional accreditation and complaint process.</v>
      </c>
      <c r="G28" s="138"/>
      <c r="H28" s="138"/>
      <c r="I28" s="138"/>
      <c r="J28" s="138"/>
      <c r="K28" s="138"/>
      <c r="L28" s="138"/>
      <c r="M28" s="138"/>
      <c r="N28" s="121" t="str">
        <f t="shared" ca="1" si="4"/>
        <v/>
      </c>
      <c r="O28" s="118" t="str">
        <f t="shared" ca="1" si="5"/>
        <v/>
      </c>
      <c r="P28" s="122"/>
      <c r="Q28" s="122"/>
      <c r="R28" s="118"/>
      <c r="S28" s="118"/>
      <c r="T28" s="118"/>
      <c r="U28" s="118"/>
      <c r="V28" s="118"/>
      <c r="W28" s="118"/>
      <c r="X28" s="118"/>
      <c r="Y28" s="118"/>
      <c r="Z28" s="123"/>
      <c r="AA28" s="118"/>
      <c r="AB28" s="118"/>
      <c r="AC28" s="118"/>
      <c r="AD28" s="118"/>
      <c r="AE28" s="118"/>
      <c r="AF28" s="118"/>
      <c r="AG28" s="118"/>
      <c r="AH28" s="121">
        <v>1</v>
      </c>
      <c r="AI28" s="13"/>
    </row>
  </sheetData>
  <sheetProtection algorithmName="SHA-512" hashValue="iBYJ8MLIrO9LuiA9xJEj6wghmod6AF6qWJShXUO7IGPYNXU8s3zQ/ix6zT21TfZ3aiQpFO/u2jNiutSUN/FNFg==" saltValue="LSZ6pBmcUSrANdDCxHlCPw==" spinCount="100000" sheet="1" objects="1" scenarios="1"/>
  <sortState xmlns:xlrd2="http://schemas.microsoft.com/office/spreadsheetml/2017/richdata2" ref="A8:AI28">
    <sortCondition ref="A8:A28"/>
  </sortState>
  <dataConsolidate/>
  <mergeCells count="1">
    <mergeCell ref="F2:F5"/>
  </mergeCells>
  <pageMargins left="0.7" right="0.7" top="0.75" bottom="0.75" header="0.3" footer="0.3"/>
  <pageSetup paperSize="9" scale="38" fitToHeight="0"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9046" r:id="rId4" name="Drop Down 22">
              <controlPr locked="0" defaultSize="0" autoFill="0" autoPict="0">
                <anchor moveWithCells="1">
                  <from>
                    <xdr:col>6</xdr:col>
                    <xdr:colOff>400050</xdr:colOff>
                    <xdr:row>8</xdr:row>
                    <xdr:rowOff>76200</xdr:rowOff>
                  </from>
                  <to>
                    <xdr:col>6</xdr:col>
                    <xdr:colOff>1638300</xdr:colOff>
                    <xdr:row>8</xdr:row>
                    <xdr:rowOff>304800</xdr:rowOff>
                  </to>
                </anchor>
              </controlPr>
            </control>
          </mc:Choice>
        </mc:AlternateContent>
        <mc:AlternateContent xmlns:mc="http://schemas.openxmlformats.org/markup-compatibility/2006">
          <mc:Choice Requires="x14">
            <control shapeId="129090" r:id="rId5" name="Drop Down 66">
              <controlPr locked="0" defaultSize="0" autoFill="0" autoPict="0">
                <anchor moveWithCells="1">
                  <from>
                    <xdr:col>6</xdr:col>
                    <xdr:colOff>400050</xdr:colOff>
                    <xdr:row>11</xdr:row>
                    <xdr:rowOff>76200</xdr:rowOff>
                  </from>
                  <to>
                    <xdr:col>6</xdr:col>
                    <xdr:colOff>1638300</xdr:colOff>
                    <xdr:row>11</xdr:row>
                    <xdr:rowOff>304800</xdr:rowOff>
                  </to>
                </anchor>
              </controlPr>
            </control>
          </mc:Choice>
        </mc:AlternateContent>
        <mc:AlternateContent xmlns:mc="http://schemas.openxmlformats.org/markup-compatibility/2006">
          <mc:Choice Requires="x14">
            <control shapeId="129091" r:id="rId6" name="Drop Down 67">
              <controlPr locked="0" defaultSize="0" autoFill="0" autoPict="0">
                <anchor moveWithCells="1">
                  <from>
                    <xdr:col>6</xdr:col>
                    <xdr:colOff>400050</xdr:colOff>
                    <xdr:row>14</xdr:row>
                    <xdr:rowOff>76200</xdr:rowOff>
                  </from>
                  <to>
                    <xdr:col>6</xdr:col>
                    <xdr:colOff>1638300</xdr:colOff>
                    <xdr:row>14</xdr:row>
                    <xdr:rowOff>304800</xdr:rowOff>
                  </to>
                </anchor>
              </controlPr>
            </control>
          </mc:Choice>
        </mc:AlternateContent>
        <mc:AlternateContent xmlns:mc="http://schemas.openxmlformats.org/markup-compatibility/2006">
          <mc:Choice Requires="x14">
            <control shapeId="129092" r:id="rId7" name="Drop Down 68">
              <controlPr locked="0" defaultSize="0" autoFill="0" autoPict="0">
                <anchor moveWithCells="1">
                  <from>
                    <xdr:col>6</xdr:col>
                    <xdr:colOff>400050</xdr:colOff>
                    <xdr:row>17</xdr:row>
                    <xdr:rowOff>76200</xdr:rowOff>
                  </from>
                  <to>
                    <xdr:col>6</xdr:col>
                    <xdr:colOff>1638300</xdr:colOff>
                    <xdr:row>17</xdr:row>
                    <xdr:rowOff>304800</xdr:rowOff>
                  </to>
                </anchor>
              </controlPr>
            </control>
          </mc:Choice>
        </mc:AlternateContent>
        <mc:AlternateContent xmlns:mc="http://schemas.openxmlformats.org/markup-compatibility/2006">
          <mc:Choice Requires="x14">
            <control shapeId="129093" r:id="rId8" name="Drop Down 69">
              <controlPr locked="0" defaultSize="0" autoFill="0" autoPict="0">
                <anchor moveWithCells="1">
                  <from>
                    <xdr:col>6</xdr:col>
                    <xdr:colOff>400050</xdr:colOff>
                    <xdr:row>20</xdr:row>
                    <xdr:rowOff>76200</xdr:rowOff>
                  </from>
                  <to>
                    <xdr:col>6</xdr:col>
                    <xdr:colOff>1638300</xdr:colOff>
                    <xdr:row>20</xdr:row>
                    <xdr:rowOff>304800</xdr:rowOff>
                  </to>
                </anchor>
              </controlPr>
            </control>
          </mc:Choice>
        </mc:AlternateContent>
        <mc:AlternateContent xmlns:mc="http://schemas.openxmlformats.org/markup-compatibility/2006">
          <mc:Choice Requires="x14">
            <control shapeId="129094" r:id="rId9" name="Drop Down 70">
              <controlPr locked="0" defaultSize="0" autoFill="0" autoPict="0">
                <anchor moveWithCells="1">
                  <from>
                    <xdr:col>6</xdr:col>
                    <xdr:colOff>400050</xdr:colOff>
                    <xdr:row>23</xdr:row>
                    <xdr:rowOff>76200</xdr:rowOff>
                  </from>
                  <to>
                    <xdr:col>6</xdr:col>
                    <xdr:colOff>1638300</xdr:colOff>
                    <xdr:row>23</xdr:row>
                    <xdr:rowOff>304800</xdr:rowOff>
                  </to>
                </anchor>
              </controlPr>
            </control>
          </mc:Choice>
        </mc:AlternateContent>
        <mc:AlternateContent xmlns:mc="http://schemas.openxmlformats.org/markup-compatibility/2006">
          <mc:Choice Requires="x14">
            <control shapeId="129095" r:id="rId10" name="Drop Down 71">
              <controlPr locked="0" defaultSize="0" autoFill="0" autoPict="0">
                <anchor moveWithCells="1">
                  <from>
                    <xdr:col>6</xdr:col>
                    <xdr:colOff>400050</xdr:colOff>
                    <xdr:row>26</xdr:row>
                    <xdr:rowOff>76200</xdr:rowOff>
                  </from>
                  <to>
                    <xdr:col>6</xdr:col>
                    <xdr:colOff>1638300</xdr:colOff>
                    <xdr:row>26</xdr:row>
                    <xdr:rowOff>304800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4">
    <tabColor rgb="FFFF0000"/>
    <pageSetUpPr autoPageBreaks="0" fitToPage="1"/>
  </sheetPr>
  <dimension ref="A2:AI35"/>
  <sheetViews>
    <sheetView showGridLines="0" showRowColHeaders="0" zoomScaleNormal="100" workbookViewId="0">
      <pane ySplit="7" topLeftCell="A8" activePane="bottomLeft" state="frozen"/>
      <selection pane="bottomLeft" activeCell="E9" sqref="E9"/>
    </sheetView>
  </sheetViews>
  <sheetFormatPr defaultColWidth="9.140625" defaultRowHeight="15" x14ac:dyDescent="0.25"/>
  <cols>
    <col min="1" max="1" width="9.28515625" style="21" hidden="1" customWidth="1"/>
    <col min="2" max="3" width="8.85546875" style="21" hidden="1" customWidth="1"/>
    <col min="4" max="4" width="6.28515625" style="135" customWidth="1"/>
    <col min="5" max="5" width="15.5703125" style="21" customWidth="1"/>
    <col min="6" max="6" width="67.42578125" style="21" customWidth="1"/>
    <col min="7" max="7" width="29.7109375" style="135" customWidth="1"/>
    <col min="8" max="8" width="7.7109375" style="135" hidden="1" customWidth="1"/>
    <col min="9" max="9" width="9.7109375" style="135" hidden="1" customWidth="1"/>
    <col min="10" max="13" width="7.7109375" style="135" hidden="1" customWidth="1"/>
    <col min="14" max="14" width="13.140625" style="21" hidden="1" customWidth="1"/>
    <col min="15" max="15" width="13.140625" style="21" customWidth="1"/>
    <col min="16" max="16" width="28.42578125" style="21" customWidth="1"/>
    <col min="17" max="17" width="41.7109375" style="21" customWidth="1"/>
    <col min="18" max="26" width="9.140625" style="21" customWidth="1"/>
    <col min="27" max="27" width="9.140625" style="21" hidden="1" customWidth="1"/>
    <col min="28" max="33" width="9.140625" style="21" customWidth="1"/>
    <col min="34" max="34" width="9.140625" style="78" hidden="1" customWidth="1"/>
    <col min="35" max="35" width="9.140625" style="13" customWidth="1"/>
    <col min="36" max="39" width="9.140625" style="21" customWidth="1"/>
    <col min="40" max="16384" width="9.140625" style="21"/>
  </cols>
  <sheetData>
    <row r="2" spans="1:35" s="53" customFormat="1" ht="15" customHeight="1" x14ac:dyDescent="0.25">
      <c r="A2" s="50"/>
      <c r="B2" s="21"/>
      <c r="C2" s="21"/>
      <c r="D2" s="135"/>
      <c r="E2" s="21"/>
      <c r="F2" s="313" t="str">
        <f ca="1">"Maturity model for Stage "&amp;LEFT(B8,1)&amp;" - "&amp;VLOOKUP(A8-1,Contents_Text,7,FALSE)</f>
        <v>Maturity model for Stage B - Testing</v>
      </c>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78"/>
      <c r="AI2" s="13"/>
    </row>
    <row r="3" spans="1:35" s="53" customFormat="1" ht="15" customHeight="1" x14ac:dyDescent="0.25">
      <c r="A3" s="21"/>
      <c r="B3" s="21"/>
      <c r="C3" s="21"/>
      <c r="D3" s="135"/>
      <c r="E3" s="21"/>
      <c r="F3" s="313"/>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78"/>
      <c r="AI3" s="13"/>
    </row>
    <row r="4" spans="1:35" s="53" customFormat="1" ht="15" customHeight="1" x14ac:dyDescent="0.25">
      <c r="A4" s="21"/>
      <c r="B4" s="21"/>
      <c r="C4" s="21"/>
      <c r="D4" s="135"/>
      <c r="E4" s="21"/>
      <c r="F4" s="313"/>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78"/>
      <c r="AI4" s="13"/>
    </row>
    <row r="5" spans="1:35" s="53" customFormat="1" ht="15" customHeight="1" x14ac:dyDescent="0.25">
      <c r="A5" s="21"/>
      <c r="B5" s="21"/>
      <c r="C5" s="21"/>
      <c r="D5" s="135"/>
      <c r="E5" s="21"/>
      <c r="F5" s="313"/>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78"/>
      <c r="AI5" s="13"/>
    </row>
    <row r="6" spans="1:35" ht="11.25" customHeight="1" x14ac:dyDescent="0.25"/>
    <row r="7" spans="1:35" ht="36" customHeight="1" thickBot="1" x14ac:dyDescent="0.35">
      <c r="F7" s="54"/>
      <c r="G7" s="180" t="s">
        <v>47</v>
      </c>
      <c r="H7" s="180"/>
      <c r="I7" s="180"/>
      <c r="J7" s="180"/>
      <c r="K7" s="180"/>
      <c r="L7" s="180"/>
      <c r="M7" s="180"/>
      <c r="N7" s="55" t="s">
        <v>8</v>
      </c>
      <c r="O7" s="56" t="s">
        <v>194</v>
      </c>
      <c r="P7" s="57" t="s">
        <v>48</v>
      </c>
      <c r="Q7" s="57" t="s">
        <v>0</v>
      </c>
      <c r="AH7" s="204" t="s">
        <v>132</v>
      </c>
    </row>
    <row r="8" spans="1:35" s="74" customFormat="1" ht="30" customHeight="1" x14ac:dyDescent="0.25">
      <c r="A8" s="72">
        <v>24</v>
      </c>
      <c r="B8" s="73" t="str">
        <f t="shared" ref="B8:B35" si="0">VLOOKUP(A8,contentrefmockup,2,FALSE)</f>
        <v>B.1</v>
      </c>
      <c r="C8" s="20">
        <f t="shared" ref="C8:C35" si="1">VLOOKUP(A8,contentrefmockup,15,FALSE)</f>
        <v>2</v>
      </c>
      <c r="D8" s="20"/>
      <c r="E8" s="142" t="str">
        <f t="shared" ref="E8:E35" si="2">IF(C8=1,"Phase "&amp;B8,IF(C8=2,"Step "&amp;VLOOKUP(A8,contentrefmockup,4,FALSE),B8))</f>
        <v>Step 1</v>
      </c>
      <c r="F8" s="143" t="str">
        <f t="shared" ref="F8:F35" si="3">VLOOKUP(A8,contentrefmockup,7,FALSE)</f>
        <v>Agree testing style and type</v>
      </c>
      <c r="G8" s="143"/>
      <c r="H8" s="143"/>
      <c r="I8" s="143"/>
      <c r="J8" s="143"/>
      <c r="K8" s="143"/>
      <c r="L8" s="143"/>
      <c r="M8" s="143"/>
      <c r="N8" s="143" t="str">
        <f t="shared" ref="N8:N35" ca="1" si="4">IFERROR(IF(VLOOKUP(A8,Weightings_Assessments,25,FALSE)=0,"",VLOOKUP(A8,Weightings_Assessments,25,FALSE)),"")</f>
        <v/>
      </c>
      <c r="O8" s="143" t="str">
        <f t="shared" ref="O8:O35" ca="1" si="5">IFERROR(VLOOKUP(AH8,detail_maturity_score,3,FALSE)*VLOOKUP(A8,Weightings_Assessments,23,FALSE),"")</f>
        <v/>
      </c>
      <c r="P8" s="143"/>
      <c r="Q8" s="143"/>
      <c r="R8" s="143"/>
      <c r="S8" s="143"/>
      <c r="T8" s="143"/>
      <c r="U8" s="143"/>
      <c r="V8" s="143"/>
      <c r="W8" s="143"/>
      <c r="X8" s="143"/>
      <c r="Y8" s="143"/>
      <c r="Z8" s="143"/>
      <c r="AA8" s="143"/>
      <c r="AB8" s="143"/>
      <c r="AC8" s="143"/>
      <c r="AD8" s="143"/>
      <c r="AE8" s="143"/>
      <c r="AF8" s="143"/>
      <c r="AG8" s="143"/>
      <c r="AH8" s="77"/>
      <c r="AI8" s="13"/>
    </row>
    <row r="9" spans="1:35" s="74" customFormat="1" ht="45" x14ac:dyDescent="0.25">
      <c r="A9" s="203">
        <v>25</v>
      </c>
      <c r="B9" s="73" t="str">
        <f t="shared" si="0"/>
        <v>B.1.01</v>
      </c>
      <c r="C9" s="20">
        <f t="shared" si="1"/>
        <v>5</v>
      </c>
      <c r="D9" s="20"/>
      <c r="E9" s="119" t="str">
        <f t="shared" si="2"/>
        <v>B.1.01</v>
      </c>
      <c r="F9" s="140" t="str">
        <f t="shared" si="3"/>
        <v>Do you determine what style of penetration testing is required (e.g. black, grey or white box testing; internal or external testing) and what type of testing is to be performed?</v>
      </c>
      <c r="G9" s="118"/>
      <c r="H9" s="139"/>
      <c r="I9" s="141"/>
      <c r="J9" s="139"/>
      <c r="K9" s="139"/>
      <c r="L9" s="139"/>
      <c r="M9" s="139"/>
      <c r="N9" s="121" t="str">
        <f t="shared" ca="1" si="4"/>
        <v>x 1</v>
      </c>
      <c r="O9" s="121" t="str">
        <f t="shared" ca="1" si="5"/>
        <v/>
      </c>
      <c r="P9" s="122"/>
      <c r="Q9" s="122"/>
      <c r="R9" s="118"/>
      <c r="S9" s="118"/>
      <c r="T9" s="118"/>
      <c r="U9" s="118"/>
      <c r="V9" s="118"/>
      <c r="W9" s="118"/>
      <c r="X9" s="118"/>
      <c r="Y9" s="118"/>
      <c r="Z9" s="123"/>
      <c r="AA9" s="118">
        <v>1</v>
      </c>
      <c r="AB9" s="118"/>
      <c r="AC9" s="118"/>
      <c r="AD9" s="118"/>
      <c r="AE9" s="118"/>
      <c r="AF9" s="118"/>
      <c r="AG9" s="118"/>
      <c r="AH9" s="77">
        <v>1</v>
      </c>
      <c r="AI9" s="13"/>
    </row>
    <row r="10" spans="1:35" s="74" customFormat="1" ht="150" x14ac:dyDescent="0.25">
      <c r="A10" s="203">
        <v>26</v>
      </c>
      <c r="B10" s="73" t="str">
        <f t="shared" si="0"/>
        <v/>
      </c>
      <c r="C10" s="20">
        <f t="shared" si="1"/>
        <v>3</v>
      </c>
      <c r="D10" s="20"/>
      <c r="E10" s="119" t="str">
        <f t="shared" si="2"/>
        <v/>
      </c>
      <c r="F10" s="138" t="str">
        <f t="shared" si="3"/>
        <v>When determining the style of penetration testing to be part of the scope, you should: evaluate the need for black, grey or white box testing; consider the use of an ‘external’ penetration test, aimed at IT systems from ‘outside the building’ and / or an internal security test, end-to-end testing (i.e. for people, through data, devices, applications and infrastructure), emerging technologies (e.g. mobile applications); and social engineering. The type of testing to consider as part of the scope should include web application, IT infrastructure and specialised penetration testing, as well as whether or not testing should be performed in live and / or test environments.</v>
      </c>
      <c r="G10" s="138"/>
      <c r="H10" s="138"/>
      <c r="I10" s="138"/>
      <c r="J10" s="138"/>
      <c r="K10" s="138"/>
      <c r="L10" s="138"/>
      <c r="M10" s="138"/>
      <c r="N10" s="121" t="str">
        <f t="shared" ca="1" si="4"/>
        <v/>
      </c>
      <c r="O10" s="118" t="str">
        <f t="shared" ca="1" si="5"/>
        <v/>
      </c>
      <c r="P10" s="122"/>
      <c r="Q10" s="122"/>
      <c r="R10" s="118"/>
      <c r="S10" s="118"/>
      <c r="T10" s="118"/>
      <c r="U10" s="118"/>
      <c r="V10" s="118"/>
      <c r="W10" s="118"/>
      <c r="X10" s="118"/>
      <c r="Y10" s="118"/>
      <c r="Z10" s="123"/>
      <c r="AA10" s="118"/>
      <c r="AB10" s="118"/>
      <c r="AC10" s="118"/>
      <c r="AD10" s="118"/>
      <c r="AE10" s="118"/>
      <c r="AF10" s="118"/>
      <c r="AG10" s="118"/>
      <c r="AH10" s="202"/>
      <c r="AI10" s="13"/>
    </row>
    <row r="11" spans="1:35" s="74" customFormat="1" ht="30" customHeight="1" x14ac:dyDescent="0.25">
      <c r="A11" s="72">
        <v>27</v>
      </c>
      <c r="B11" s="73" t="str">
        <f t="shared" si="0"/>
        <v>B.2</v>
      </c>
      <c r="C11" s="20">
        <f t="shared" si="1"/>
        <v>2</v>
      </c>
      <c r="D11" s="20"/>
      <c r="E11" s="142" t="str">
        <f t="shared" si="2"/>
        <v>Step 2</v>
      </c>
      <c r="F11" s="143" t="str">
        <f t="shared" si="3"/>
        <v>Identify testing constraints</v>
      </c>
      <c r="G11" s="143"/>
      <c r="H11" s="143"/>
      <c r="I11" s="143"/>
      <c r="J11" s="143"/>
      <c r="K11" s="143"/>
      <c r="L11" s="143"/>
      <c r="M11" s="143"/>
      <c r="N11" s="143" t="str">
        <f t="shared" ca="1" si="4"/>
        <v/>
      </c>
      <c r="O11" s="143" t="str">
        <f t="shared" ca="1" si="5"/>
        <v/>
      </c>
      <c r="P11" s="143"/>
      <c r="Q11" s="143"/>
      <c r="R11" s="143"/>
      <c r="S11" s="143"/>
      <c r="T11" s="143"/>
      <c r="U11" s="143"/>
      <c r="V11" s="143"/>
      <c r="W11" s="143"/>
      <c r="X11" s="143"/>
      <c r="Y11" s="143"/>
      <c r="Z11" s="143"/>
      <c r="AA11" s="143"/>
      <c r="AB11" s="143"/>
      <c r="AC11" s="143"/>
      <c r="AD11" s="143"/>
      <c r="AE11" s="143"/>
      <c r="AF11" s="143"/>
      <c r="AG11" s="143"/>
      <c r="AH11" s="77"/>
      <c r="AI11" s="13"/>
    </row>
    <row r="12" spans="1:35" s="74" customFormat="1" ht="30" x14ac:dyDescent="0.25">
      <c r="A12" s="203">
        <v>28</v>
      </c>
      <c r="B12" s="73" t="str">
        <f t="shared" si="0"/>
        <v>B.2.01</v>
      </c>
      <c r="C12" s="20">
        <f t="shared" si="1"/>
        <v>5</v>
      </c>
      <c r="D12" s="20"/>
      <c r="E12" s="119" t="str">
        <f t="shared" si="2"/>
        <v>B.2.01</v>
      </c>
      <c r="F12" s="140" t="str">
        <f t="shared" si="3"/>
        <v>Do you identify any testing constraints associated with planned penetration testing?</v>
      </c>
      <c r="G12" s="118"/>
      <c r="H12" s="139"/>
      <c r="I12" s="141"/>
      <c r="J12" s="139"/>
      <c r="K12" s="139"/>
      <c r="L12" s="139"/>
      <c r="M12" s="139"/>
      <c r="N12" s="121" t="str">
        <f t="shared" ca="1" si="4"/>
        <v>x 1</v>
      </c>
      <c r="O12" s="121" t="str">
        <f t="shared" ca="1" si="5"/>
        <v/>
      </c>
      <c r="P12" s="122"/>
      <c r="Q12" s="122"/>
      <c r="R12" s="118"/>
      <c r="S12" s="118"/>
      <c r="T12" s="118"/>
      <c r="U12" s="118"/>
      <c r="V12" s="118"/>
      <c r="W12" s="118"/>
      <c r="X12" s="118"/>
      <c r="Y12" s="118"/>
      <c r="Z12" s="123"/>
      <c r="AA12" s="118">
        <v>1</v>
      </c>
      <c r="AB12" s="118"/>
      <c r="AC12" s="118"/>
      <c r="AD12" s="118"/>
      <c r="AE12" s="118"/>
      <c r="AF12" s="118"/>
      <c r="AG12" s="118"/>
      <c r="AH12" s="77">
        <v>1</v>
      </c>
      <c r="AI12" s="13"/>
    </row>
    <row r="13" spans="1:35" s="74" customFormat="1" ht="60" x14ac:dyDescent="0.25">
      <c r="A13" s="203">
        <v>29</v>
      </c>
      <c r="B13" s="73" t="str">
        <f t="shared" si="0"/>
        <v/>
      </c>
      <c r="C13" s="20">
        <f t="shared" si="1"/>
        <v>3</v>
      </c>
      <c r="D13" s="20"/>
      <c r="E13" s="119" t="str">
        <f t="shared" si="2"/>
        <v/>
      </c>
      <c r="F13" s="138" t="str">
        <f t="shared" si="3"/>
        <v>Testing constraints can include: aspects of the business that cannot be tested due to operational and technical limitations; legal, resourcing or time restrictions; and the likelihood that most penetration testing will not find all vulnerabilities of a given environment.</v>
      </c>
      <c r="G13" s="138"/>
      <c r="H13" s="138"/>
      <c r="I13" s="138"/>
      <c r="J13" s="138"/>
      <c r="K13" s="138"/>
      <c r="L13" s="138"/>
      <c r="M13" s="138"/>
      <c r="N13" s="121" t="str">
        <f t="shared" ca="1" si="4"/>
        <v/>
      </c>
      <c r="O13" s="118" t="str">
        <f t="shared" ca="1" si="5"/>
        <v/>
      </c>
      <c r="P13" s="122"/>
      <c r="Q13" s="122"/>
      <c r="R13" s="118"/>
      <c r="S13" s="118"/>
      <c r="T13" s="118"/>
      <c r="U13" s="118"/>
      <c r="V13" s="118"/>
      <c r="W13" s="118"/>
      <c r="X13" s="118"/>
      <c r="Y13" s="118"/>
      <c r="Z13" s="123"/>
      <c r="AA13" s="118"/>
      <c r="AB13" s="118"/>
      <c r="AC13" s="118"/>
      <c r="AD13" s="118"/>
      <c r="AE13" s="118"/>
      <c r="AF13" s="118"/>
      <c r="AG13" s="118"/>
      <c r="AH13" s="202">
        <v>1</v>
      </c>
      <c r="AI13" s="13"/>
    </row>
    <row r="14" spans="1:35" s="74" customFormat="1" ht="30" customHeight="1" x14ac:dyDescent="0.25">
      <c r="A14" s="72">
        <v>30</v>
      </c>
      <c r="B14" s="73" t="str">
        <f t="shared" si="0"/>
        <v>B.3</v>
      </c>
      <c r="C14" s="20">
        <f t="shared" si="1"/>
        <v>2</v>
      </c>
      <c r="D14" s="20"/>
      <c r="E14" s="142" t="str">
        <f t="shared" si="2"/>
        <v>Step 3</v>
      </c>
      <c r="F14" s="143" t="str">
        <f t="shared" si="3"/>
        <v>Produce scope statements</v>
      </c>
      <c r="G14" s="143"/>
      <c r="H14" s="143"/>
      <c r="I14" s="143"/>
      <c r="J14" s="143"/>
      <c r="K14" s="143"/>
      <c r="L14" s="143"/>
      <c r="M14" s="143"/>
      <c r="N14" s="143" t="str">
        <f t="shared" ca="1" si="4"/>
        <v/>
      </c>
      <c r="O14" s="143" t="str">
        <f t="shared" ca="1" si="5"/>
        <v/>
      </c>
      <c r="P14" s="143"/>
      <c r="Q14" s="143"/>
      <c r="R14" s="143"/>
      <c r="S14" s="143"/>
      <c r="T14" s="143"/>
      <c r="U14" s="143"/>
      <c r="V14" s="143"/>
      <c r="W14" s="143"/>
      <c r="X14" s="143"/>
      <c r="Y14" s="143"/>
      <c r="Z14" s="143"/>
      <c r="AA14" s="143"/>
      <c r="AB14" s="143"/>
      <c r="AC14" s="143"/>
      <c r="AD14" s="143"/>
      <c r="AE14" s="143"/>
      <c r="AF14" s="143"/>
      <c r="AG14" s="143"/>
      <c r="AH14" s="77"/>
      <c r="AI14" s="13"/>
    </row>
    <row r="15" spans="1:35" s="74" customFormat="1" ht="45" x14ac:dyDescent="0.25">
      <c r="A15" s="203">
        <v>31</v>
      </c>
      <c r="B15" s="73" t="str">
        <f t="shared" si="0"/>
        <v>B.3.01</v>
      </c>
      <c r="C15" s="20">
        <f t="shared" si="1"/>
        <v>5</v>
      </c>
      <c r="D15" s="20"/>
      <c r="E15" s="119" t="str">
        <f t="shared" si="2"/>
        <v>B.3.01</v>
      </c>
      <c r="F15" s="140" t="str">
        <f t="shared" si="3"/>
        <v>Do you produce formal scope statements for penetration testing, supported by defined reporting requirements, prior to tests commencing?</v>
      </c>
      <c r="G15" s="118"/>
      <c r="H15" s="139"/>
      <c r="I15" s="141"/>
      <c r="J15" s="139"/>
      <c r="K15" s="139"/>
      <c r="L15" s="139"/>
      <c r="M15" s="139"/>
      <c r="N15" s="121" t="str">
        <f t="shared" ca="1" si="4"/>
        <v>x 1</v>
      </c>
      <c r="O15" s="121" t="str">
        <f t="shared" ca="1" si="5"/>
        <v/>
      </c>
      <c r="P15" s="122"/>
      <c r="Q15" s="122"/>
      <c r="R15" s="118"/>
      <c r="S15" s="118"/>
      <c r="T15" s="118"/>
      <c r="U15" s="118"/>
      <c r="V15" s="118"/>
      <c r="W15" s="118"/>
      <c r="X15" s="118"/>
      <c r="Y15" s="118"/>
      <c r="Z15" s="123"/>
      <c r="AA15" s="118">
        <v>1</v>
      </c>
      <c r="AB15" s="118"/>
      <c r="AC15" s="118"/>
      <c r="AD15" s="118"/>
      <c r="AE15" s="118"/>
      <c r="AF15" s="118"/>
      <c r="AG15" s="118"/>
      <c r="AH15" s="77">
        <v>1</v>
      </c>
      <c r="AI15" s="13"/>
    </row>
    <row r="16" spans="1:35" s="74" customFormat="1" ht="135" x14ac:dyDescent="0.25">
      <c r="A16" s="203">
        <v>32</v>
      </c>
      <c r="B16" s="73" t="str">
        <f t="shared" si="0"/>
        <v/>
      </c>
      <c r="C16" s="20">
        <f t="shared" si="1"/>
        <v>3</v>
      </c>
      <c r="D16" s="20"/>
      <c r="E16" s="119" t="str">
        <f t="shared" si="2"/>
        <v/>
      </c>
      <c r="F16" s="138" t="str">
        <f t="shared" si="3"/>
        <v>The scope of penetration tests should: be recorded in a formal document, such as a scope statement, that is signed-off by all relevant parties; include a definition of the target environment; specify resourcing requirements; define liabilities; include follow-up activities; and authorise testing to be conducted. Reporting requirements should specify the format and type of content, when the test report will be delivered, how the test report will be delivered (electronic and / or physical); and arrangements should be made to ensure that your service provider will meet your requirements in a satisfactory manner.</v>
      </c>
      <c r="G16" s="138"/>
      <c r="H16" s="138"/>
      <c r="I16" s="138"/>
      <c r="J16" s="138"/>
      <c r="K16" s="138"/>
      <c r="L16" s="138"/>
      <c r="M16" s="138"/>
      <c r="N16" s="121" t="str">
        <f t="shared" ca="1" si="4"/>
        <v/>
      </c>
      <c r="O16" s="118" t="str">
        <f t="shared" ca="1" si="5"/>
        <v/>
      </c>
      <c r="P16" s="122"/>
      <c r="Q16" s="122"/>
      <c r="R16" s="118"/>
      <c r="S16" s="118"/>
      <c r="T16" s="118"/>
      <c r="U16" s="118"/>
      <c r="V16" s="118"/>
      <c r="W16" s="118"/>
      <c r="X16" s="118"/>
      <c r="Y16" s="118"/>
      <c r="Z16" s="123"/>
      <c r="AA16" s="118"/>
      <c r="AB16" s="118"/>
      <c r="AC16" s="118"/>
      <c r="AD16" s="118"/>
      <c r="AE16" s="118"/>
      <c r="AF16" s="118"/>
      <c r="AG16" s="118"/>
      <c r="AH16" s="202">
        <v>1</v>
      </c>
      <c r="AI16" s="13"/>
    </row>
    <row r="17" spans="1:35" s="125" customFormat="1" ht="30" customHeight="1" x14ac:dyDescent="0.25">
      <c r="A17" s="134">
        <v>33</v>
      </c>
      <c r="B17" s="117" t="str">
        <f t="shared" si="0"/>
        <v>B.4</v>
      </c>
      <c r="C17" s="118">
        <f t="shared" si="1"/>
        <v>2</v>
      </c>
      <c r="D17" s="87"/>
      <c r="E17" s="142" t="str">
        <f t="shared" si="2"/>
        <v>Step 4</v>
      </c>
      <c r="F17" s="143" t="str">
        <f t="shared" si="3"/>
        <v>Establish a management assurance framework</v>
      </c>
      <c r="G17" s="143"/>
      <c r="H17" s="143"/>
      <c r="I17" s="143"/>
      <c r="J17" s="143"/>
      <c r="K17" s="143"/>
      <c r="L17" s="143"/>
      <c r="M17" s="143"/>
      <c r="N17" s="143" t="str">
        <f t="shared" ca="1" si="4"/>
        <v/>
      </c>
      <c r="O17" s="143" t="str">
        <f t="shared" ca="1" si="5"/>
        <v/>
      </c>
      <c r="P17" s="143"/>
      <c r="Q17" s="143"/>
      <c r="R17" s="143"/>
      <c r="S17" s="143"/>
      <c r="T17" s="143"/>
      <c r="U17" s="143"/>
      <c r="V17" s="143"/>
      <c r="W17" s="143"/>
      <c r="X17" s="143"/>
      <c r="Y17" s="143"/>
      <c r="Z17" s="143"/>
      <c r="AA17" s="143"/>
      <c r="AB17" s="143"/>
      <c r="AC17" s="143"/>
      <c r="AD17" s="143"/>
      <c r="AE17" s="143"/>
      <c r="AF17" s="143"/>
      <c r="AG17" s="143"/>
      <c r="AH17" s="124"/>
      <c r="AI17" s="13"/>
    </row>
    <row r="18" spans="1:35" s="125" customFormat="1" ht="75" x14ac:dyDescent="0.25">
      <c r="A18" s="137">
        <v>34</v>
      </c>
      <c r="B18" s="117" t="str">
        <f t="shared" si="0"/>
        <v>B.4.01</v>
      </c>
      <c r="C18" s="118">
        <f t="shared" si="1"/>
        <v>5</v>
      </c>
      <c r="D18" s="87"/>
      <c r="E18" s="119" t="str">
        <f t="shared" si="2"/>
        <v>B.4.01</v>
      </c>
      <c r="F18" s="140" t="str">
        <f t="shared" si="3"/>
        <v>Have you created a documented management assurance framework to help govern all aspects of the penetration test, ensuring that testing meets requirements and testing scope is documented in a comprehensive agreement, defined in a legally binding contact and signed off by all relevant parties before testing starts?</v>
      </c>
      <c r="G18" s="118"/>
      <c r="H18" s="139"/>
      <c r="I18" s="141"/>
      <c r="J18" s="139"/>
      <c r="K18" s="139"/>
      <c r="L18" s="139"/>
      <c r="M18" s="139"/>
      <c r="N18" s="121" t="str">
        <f t="shared" ca="1" si="4"/>
        <v>x 1</v>
      </c>
      <c r="O18" s="121" t="str">
        <f t="shared" ca="1" si="5"/>
        <v/>
      </c>
      <c r="P18" s="122"/>
      <c r="Q18" s="122"/>
      <c r="R18" s="118"/>
      <c r="S18" s="118"/>
      <c r="T18" s="118"/>
      <c r="U18" s="118"/>
      <c r="V18" s="118"/>
      <c r="W18" s="118"/>
      <c r="X18" s="118"/>
      <c r="Y18" s="118"/>
      <c r="Z18" s="123"/>
      <c r="AA18" s="118">
        <v>1</v>
      </c>
      <c r="AB18" s="118"/>
      <c r="AC18" s="118"/>
      <c r="AD18" s="118"/>
      <c r="AE18" s="118"/>
      <c r="AF18" s="118"/>
      <c r="AG18" s="118"/>
      <c r="AH18" s="124">
        <v>1</v>
      </c>
      <c r="AI18" s="13"/>
    </row>
    <row r="19" spans="1:35" s="125" customFormat="1" ht="105" x14ac:dyDescent="0.25">
      <c r="A19" s="137">
        <v>35</v>
      </c>
      <c r="B19" s="117" t="str">
        <f t="shared" si="0"/>
        <v/>
      </c>
      <c r="C19" s="118">
        <f t="shared" si="1"/>
        <v>3</v>
      </c>
      <c r="D19" s="87"/>
      <c r="E19" s="119" t="str">
        <f t="shared" si="2"/>
        <v/>
      </c>
      <c r="F19" s="138" t="str">
        <f t="shared" si="3"/>
        <v>The management assurance framework should provide assurance to stakeholders that: the objectives of penetration tests are achieved; contracts with service providers are defined, agreed, signed off and monitored; risks to your organisation (e.g. degradation or loss of services; disclosure of sensitive information) are kept to a minimum; changes to testing scope are managed effectively; and that any problems are resolved satisfactorily.</v>
      </c>
      <c r="G19" s="138"/>
      <c r="H19" s="138"/>
      <c r="I19" s="138"/>
      <c r="J19" s="138"/>
      <c r="K19" s="138"/>
      <c r="L19" s="138"/>
      <c r="M19" s="138"/>
      <c r="N19" s="121" t="str">
        <f t="shared" ca="1" si="4"/>
        <v/>
      </c>
      <c r="O19" s="118" t="str">
        <f t="shared" ca="1" si="5"/>
        <v/>
      </c>
      <c r="P19" s="122"/>
      <c r="Q19" s="122"/>
      <c r="R19" s="118"/>
      <c r="S19" s="118"/>
      <c r="T19" s="118"/>
      <c r="U19" s="118"/>
      <c r="V19" s="118"/>
      <c r="W19" s="118"/>
      <c r="X19" s="118"/>
      <c r="Y19" s="118"/>
      <c r="Z19" s="123"/>
      <c r="AA19" s="118"/>
      <c r="AB19" s="118"/>
      <c r="AC19" s="118"/>
      <c r="AD19" s="118"/>
      <c r="AE19" s="118"/>
      <c r="AF19" s="118"/>
      <c r="AG19" s="118"/>
      <c r="AH19" s="121">
        <v>1</v>
      </c>
      <c r="AI19" s="13"/>
    </row>
    <row r="20" spans="1:35" s="125" customFormat="1" ht="165" x14ac:dyDescent="0.25">
      <c r="A20" s="137">
        <v>36</v>
      </c>
      <c r="B20" s="117" t="str">
        <f t="shared" si="0"/>
        <v/>
      </c>
      <c r="C20" s="118">
        <f t="shared" si="1"/>
        <v>3</v>
      </c>
      <c r="D20" s="87"/>
      <c r="E20" s="119" t="str">
        <f t="shared" si="2"/>
        <v/>
      </c>
      <c r="F20" s="138" t="str">
        <f t="shared" si="3"/>
        <v>Your assurance process should help you to effectively monitor requirements definitions, planning and preparation, as well as performance of the actual testing; and define control processes over all important management aspects of testing. The penetration testing contract should specify explicit exclusions (e.g. systems that are out of scope); any technical and operational constraints; roles and responsibilities for all parties’ concerned; and specific legal / regulatory requirements; together with specific timings and checkpoints; a problem escalation process; post-test corrective action strategy and action plan development; supported by agreed pricing and terms of business.</v>
      </c>
      <c r="G20" s="138"/>
      <c r="H20" s="138"/>
      <c r="I20" s="138"/>
      <c r="J20" s="138"/>
      <c r="K20" s="138"/>
      <c r="L20" s="138"/>
      <c r="M20" s="138"/>
      <c r="N20" s="121" t="str">
        <f t="shared" ca="1" si="4"/>
        <v/>
      </c>
      <c r="O20" s="118" t="str">
        <f t="shared" ca="1" si="5"/>
        <v/>
      </c>
      <c r="P20" s="122"/>
      <c r="Q20" s="122"/>
      <c r="R20" s="118"/>
      <c r="S20" s="118"/>
      <c r="T20" s="118"/>
      <c r="U20" s="118"/>
      <c r="V20" s="118"/>
      <c r="W20" s="118"/>
      <c r="X20" s="118"/>
      <c r="Y20" s="118"/>
      <c r="Z20" s="123"/>
      <c r="AA20" s="118"/>
      <c r="AB20" s="118"/>
      <c r="AC20" s="118"/>
      <c r="AD20" s="118"/>
      <c r="AE20" s="118"/>
      <c r="AF20" s="118"/>
      <c r="AG20" s="118"/>
      <c r="AH20" s="121"/>
      <c r="AI20" s="13"/>
    </row>
    <row r="21" spans="1:35" s="125" customFormat="1" ht="30" customHeight="1" x14ac:dyDescent="0.25">
      <c r="A21" s="134">
        <v>37</v>
      </c>
      <c r="B21" s="117" t="str">
        <f t="shared" si="0"/>
        <v>B.5</v>
      </c>
      <c r="C21" s="118">
        <f t="shared" si="1"/>
        <v>2</v>
      </c>
      <c r="D21" s="87"/>
      <c r="E21" s="142" t="str">
        <f t="shared" si="2"/>
        <v>Step 5</v>
      </c>
      <c r="F21" s="143" t="str">
        <f t="shared" si="3"/>
        <v>Implement management control processes</v>
      </c>
      <c r="G21" s="143"/>
      <c r="H21" s="143"/>
      <c r="I21" s="143"/>
      <c r="J21" s="143"/>
      <c r="K21" s="143"/>
      <c r="L21" s="143"/>
      <c r="M21" s="143"/>
      <c r="N21" s="143" t="str">
        <f t="shared" ca="1" si="4"/>
        <v/>
      </c>
      <c r="O21" s="143" t="str">
        <f t="shared" ca="1" si="5"/>
        <v/>
      </c>
      <c r="P21" s="143"/>
      <c r="Q21" s="143"/>
      <c r="R21" s="143"/>
      <c r="S21" s="143"/>
      <c r="T21" s="143"/>
      <c r="U21" s="143"/>
      <c r="V21" s="143"/>
      <c r="W21" s="143"/>
      <c r="X21" s="143"/>
      <c r="Y21" s="143"/>
      <c r="Z21" s="143"/>
      <c r="AA21" s="143">
        <v>1</v>
      </c>
      <c r="AB21" s="143"/>
      <c r="AC21" s="143"/>
      <c r="AD21" s="143"/>
      <c r="AE21" s="143"/>
      <c r="AF21" s="143"/>
      <c r="AG21" s="143"/>
      <c r="AH21" s="124">
        <v>1</v>
      </c>
      <c r="AI21" s="13"/>
    </row>
    <row r="22" spans="1:35" s="125" customFormat="1" ht="30" x14ac:dyDescent="0.25">
      <c r="A22" s="137">
        <v>38</v>
      </c>
      <c r="B22" s="117" t="str">
        <f t="shared" si="0"/>
        <v>B.5.01</v>
      </c>
      <c r="C22" s="118">
        <f t="shared" si="1"/>
        <v>5</v>
      </c>
      <c r="D22" s="87"/>
      <c r="E22" s="119" t="str">
        <f t="shared" si="2"/>
        <v>B.5.01</v>
      </c>
      <c r="F22" s="140" t="str">
        <f t="shared" si="3"/>
        <v>Have you implemented effective risk, change and problem management processes that apply to all aspects of penetration testing?</v>
      </c>
      <c r="G22" s="118"/>
      <c r="H22" s="139"/>
      <c r="I22" s="141"/>
      <c r="J22" s="139"/>
      <c r="K22" s="139"/>
      <c r="L22" s="139"/>
      <c r="M22" s="139"/>
      <c r="N22" s="121" t="str">
        <f t="shared" ca="1" si="4"/>
        <v>x 1</v>
      </c>
      <c r="O22" s="121" t="str">
        <f t="shared" ca="1" si="5"/>
        <v/>
      </c>
      <c r="P22" s="122"/>
      <c r="Q22" s="122"/>
      <c r="R22" s="118"/>
      <c r="S22" s="118"/>
      <c r="T22" s="118"/>
      <c r="U22" s="118"/>
      <c r="V22" s="118"/>
      <c r="W22" s="118"/>
      <c r="X22" s="118"/>
      <c r="Y22" s="118"/>
      <c r="Z22" s="123"/>
      <c r="AA22" s="118"/>
      <c r="AB22" s="118"/>
      <c r="AC22" s="118"/>
      <c r="AD22" s="118"/>
      <c r="AE22" s="118"/>
      <c r="AF22" s="118"/>
      <c r="AG22" s="118"/>
      <c r="AH22" s="124">
        <v>1</v>
      </c>
      <c r="AI22" s="13"/>
    </row>
    <row r="23" spans="1:35" s="125" customFormat="1" ht="180" x14ac:dyDescent="0.25">
      <c r="A23" s="137">
        <v>39</v>
      </c>
      <c r="B23" s="117" t="str">
        <f t="shared" si="0"/>
        <v/>
      </c>
      <c r="C23" s="118">
        <f t="shared" si="1"/>
        <v>3</v>
      </c>
      <c r="D23" s="87"/>
      <c r="E23" s="119" t="str">
        <f t="shared" si="2"/>
        <v/>
      </c>
      <c r="F23" s="138" t="str">
        <f t="shared" si="3"/>
        <v>Methods of keeping risks to a minimum include: carrying out planning in advance; having a clear definition of scope; using predefined escalation procedures; supported by the use of individual testers with relevant experience and qualifications, working for certified organisations. An effective change management process should: cover changes to the scope of the penetration test, organisational controls and the individuals on the testing team; ensure that all parties involved adhere to the process and that changes to penetration testing are made quickly and efficiently. An effective problem management process should cover: tests not working as planned; problems caused as a result of the penetration testing; breaches of contract or codes of conduct; and effective, timely, problem resolution.</v>
      </c>
      <c r="G23" s="138"/>
      <c r="H23" s="138"/>
      <c r="I23" s="138"/>
      <c r="J23" s="138"/>
      <c r="K23" s="138"/>
      <c r="L23" s="138"/>
      <c r="M23" s="138"/>
      <c r="N23" s="121" t="str">
        <f t="shared" ca="1" si="4"/>
        <v/>
      </c>
      <c r="O23" s="118" t="str">
        <f t="shared" ca="1" si="5"/>
        <v/>
      </c>
      <c r="P23" s="122"/>
      <c r="Q23" s="122"/>
      <c r="R23" s="118"/>
      <c r="S23" s="118"/>
      <c r="T23" s="118"/>
      <c r="U23" s="118"/>
      <c r="V23" s="118"/>
      <c r="W23" s="118"/>
      <c r="X23" s="118"/>
      <c r="Y23" s="118"/>
      <c r="Z23" s="123"/>
      <c r="AA23" s="118"/>
      <c r="AB23" s="118"/>
      <c r="AC23" s="118"/>
      <c r="AD23" s="118"/>
      <c r="AE23" s="118"/>
      <c r="AF23" s="118"/>
      <c r="AG23" s="118"/>
      <c r="AH23" s="121"/>
      <c r="AI23" s="13"/>
    </row>
    <row r="24" spans="1:35" s="125" customFormat="1" ht="30" customHeight="1" x14ac:dyDescent="0.25">
      <c r="A24" s="134">
        <v>40</v>
      </c>
      <c r="B24" s="117" t="str">
        <f t="shared" si="0"/>
        <v>B.6</v>
      </c>
      <c r="C24" s="118">
        <f t="shared" si="1"/>
        <v>2</v>
      </c>
      <c r="D24" s="87"/>
      <c r="E24" s="142" t="str">
        <f t="shared" si="2"/>
        <v>Step 6</v>
      </c>
      <c r="F24" s="143" t="str">
        <f t="shared" si="3"/>
        <v>Use an effective testing methodology</v>
      </c>
      <c r="G24" s="143"/>
      <c r="H24" s="143"/>
      <c r="I24" s="143"/>
      <c r="J24" s="143"/>
      <c r="K24" s="143"/>
      <c r="L24" s="143"/>
      <c r="M24" s="143"/>
      <c r="N24" s="143" t="str">
        <f t="shared" ca="1" si="4"/>
        <v/>
      </c>
      <c r="O24" s="143" t="str">
        <f t="shared" ca="1" si="5"/>
        <v/>
      </c>
      <c r="P24" s="143"/>
      <c r="Q24" s="143"/>
      <c r="R24" s="143"/>
      <c r="S24" s="143"/>
      <c r="T24" s="143"/>
      <c r="U24" s="143"/>
      <c r="V24" s="143"/>
      <c r="W24" s="143"/>
      <c r="X24" s="143"/>
      <c r="Y24" s="143"/>
      <c r="Z24" s="143"/>
      <c r="AA24" s="143">
        <v>1</v>
      </c>
      <c r="AB24" s="143"/>
      <c r="AC24" s="143"/>
      <c r="AD24" s="143"/>
      <c r="AE24" s="143"/>
      <c r="AF24" s="143"/>
      <c r="AG24" s="143"/>
      <c r="AH24" s="124">
        <v>1</v>
      </c>
      <c r="AI24" s="13"/>
    </row>
    <row r="25" spans="1:35" s="125" customFormat="1" ht="30" x14ac:dyDescent="0.25">
      <c r="A25" s="137">
        <v>41</v>
      </c>
      <c r="B25" s="117" t="str">
        <f t="shared" si="0"/>
        <v>B.6.01</v>
      </c>
      <c r="C25" s="118">
        <f t="shared" si="1"/>
        <v>5</v>
      </c>
      <c r="D25" s="87"/>
      <c r="E25" s="119" t="str">
        <f t="shared" si="2"/>
        <v>B.6.01</v>
      </c>
      <c r="F25" s="140" t="str">
        <f t="shared" si="3"/>
        <v>When conducting penetration tests do you use a systematic, structured testing methodology?</v>
      </c>
      <c r="G25" s="118"/>
      <c r="H25" s="139"/>
      <c r="I25" s="141"/>
      <c r="J25" s="139"/>
      <c r="K25" s="139"/>
      <c r="L25" s="139"/>
      <c r="M25" s="139"/>
      <c r="N25" s="121" t="str">
        <f t="shared" ca="1" si="4"/>
        <v>x 1</v>
      </c>
      <c r="O25" s="121" t="str">
        <f t="shared" ca="1" si="5"/>
        <v/>
      </c>
      <c r="P25" s="122"/>
      <c r="Q25" s="122"/>
      <c r="R25" s="118"/>
      <c r="S25" s="118"/>
      <c r="T25" s="118"/>
      <c r="U25" s="118"/>
      <c r="V25" s="118"/>
      <c r="W25" s="118"/>
      <c r="X25" s="118"/>
      <c r="Y25" s="118"/>
      <c r="Z25" s="123"/>
      <c r="AA25" s="118"/>
      <c r="AB25" s="118"/>
      <c r="AC25" s="118"/>
      <c r="AD25" s="118"/>
      <c r="AE25" s="118"/>
      <c r="AF25" s="118"/>
      <c r="AG25" s="118"/>
      <c r="AH25" s="124">
        <v>1</v>
      </c>
      <c r="AI25" s="13"/>
    </row>
    <row r="26" spans="1:35" s="125" customFormat="1" ht="90" x14ac:dyDescent="0.25">
      <c r="A26" s="137">
        <v>42</v>
      </c>
      <c r="B26" s="117" t="str">
        <f t="shared" si="0"/>
        <v/>
      </c>
      <c r="C26" s="118">
        <f t="shared" si="1"/>
        <v>3</v>
      </c>
      <c r="D26" s="87"/>
      <c r="E26" s="119" t="str">
        <f t="shared" si="2"/>
        <v/>
      </c>
      <c r="F26" s="138" t="str">
        <f t="shared" si="3"/>
        <v>A systematic, structured testing methodology should: be based on proven approaches designed by authoritative publicly available sources; detail specific evaluation or testing criteria; adhere to a standard common language and scope for performing penetration testing; and specify a required approach (or approaches) for carrying out all stages of a comprehensive end-to-end penetration test.</v>
      </c>
      <c r="G26" s="138"/>
      <c r="H26" s="138"/>
      <c r="I26" s="138"/>
      <c r="J26" s="138"/>
      <c r="K26" s="138"/>
      <c r="L26" s="138"/>
      <c r="M26" s="138"/>
      <c r="N26" s="121" t="str">
        <f t="shared" ca="1" si="4"/>
        <v/>
      </c>
      <c r="O26" s="118" t="str">
        <f t="shared" ca="1" si="5"/>
        <v/>
      </c>
      <c r="P26" s="122"/>
      <c r="Q26" s="122"/>
      <c r="R26" s="118"/>
      <c r="S26" s="118"/>
      <c r="T26" s="118"/>
      <c r="U26" s="118"/>
      <c r="V26" s="118"/>
      <c r="W26" s="118"/>
      <c r="X26" s="118"/>
      <c r="Y26" s="118"/>
      <c r="Z26" s="123"/>
      <c r="AA26" s="118"/>
      <c r="AB26" s="118"/>
      <c r="AC26" s="118"/>
      <c r="AD26" s="118"/>
      <c r="AE26" s="118"/>
      <c r="AF26" s="118"/>
      <c r="AG26" s="118"/>
      <c r="AH26" s="121"/>
      <c r="AI26" s="13"/>
    </row>
    <row r="27" spans="1:35" s="125" customFormat="1" ht="30" customHeight="1" x14ac:dyDescent="0.25">
      <c r="A27" s="134">
        <v>43</v>
      </c>
      <c r="B27" s="117" t="str">
        <f t="shared" si="0"/>
        <v>B.7</v>
      </c>
      <c r="C27" s="118">
        <f t="shared" si="1"/>
        <v>2</v>
      </c>
      <c r="D27" s="87"/>
      <c r="E27" s="142" t="str">
        <f t="shared" si="2"/>
        <v>Step 7</v>
      </c>
      <c r="F27" s="143" t="str">
        <f t="shared" si="3"/>
        <v>Conduct sufficient research and planning</v>
      </c>
      <c r="G27" s="143"/>
      <c r="H27" s="143"/>
      <c r="I27" s="143"/>
      <c r="J27" s="143"/>
      <c r="K27" s="143"/>
      <c r="L27" s="143"/>
      <c r="M27" s="143"/>
      <c r="N27" s="143" t="str">
        <f t="shared" ca="1" si="4"/>
        <v/>
      </c>
      <c r="O27" s="143" t="str">
        <f t="shared" ca="1" si="5"/>
        <v/>
      </c>
      <c r="P27" s="143"/>
      <c r="Q27" s="143"/>
      <c r="R27" s="143"/>
      <c r="S27" s="143"/>
      <c r="T27" s="143"/>
      <c r="U27" s="143"/>
      <c r="V27" s="143"/>
      <c r="W27" s="143"/>
      <c r="X27" s="143"/>
      <c r="Y27" s="143"/>
      <c r="Z27" s="143"/>
      <c r="AA27" s="143">
        <v>1</v>
      </c>
      <c r="AB27" s="143"/>
      <c r="AC27" s="143"/>
      <c r="AD27" s="143"/>
      <c r="AE27" s="143"/>
      <c r="AF27" s="143"/>
      <c r="AG27" s="143"/>
      <c r="AH27" s="124">
        <v>1</v>
      </c>
      <c r="AI27" s="13"/>
    </row>
    <row r="28" spans="1:35" s="125" customFormat="1" ht="60" x14ac:dyDescent="0.25">
      <c r="A28" s="137">
        <v>44</v>
      </c>
      <c r="B28" s="117" t="str">
        <f t="shared" si="0"/>
        <v>B.7.01</v>
      </c>
      <c r="C28" s="118">
        <f t="shared" si="1"/>
        <v>5</v>
      </c>
      <c r="D28" s="87"/>
      <c r="E28" s="119" t="str">
        <f t="shared" si="2"/>
        <v>B.7.01</v>
      </c>
      <c r="F28" s="140" t="str">
        <f t="shared" si="3"/>
        <v>Are detailed test plans produced to provide guidelines for the penetration testing to be undertaken, supported by research to imitate the research activities that a potential attacker could undertake to find out as much about the target environment and how it works as possible?</v>
      </c>
      <c r="G28" s="118"/>
      <c r="H28" s="139"/>
      <c r="I28" s="141"/>
      <c r="J28" s="139"/>
      <c r="K28" s="139"/>
      <c r="L28" s="139"/>
      <c r="M28" s="139"/>
      <c r="N28" s="121" t="str">
        <f t="shared" ca="1" si="4"/>
        <v>x 1</v>
      </c>
      <c r="O28" s="121" t="str">
        <f t="shared" ca="1" si="5"/>
        <v/>
      </c>
      <c r="P28" s="122"/>
      <c r="Q28" s="122"/>
      <c r="R28" s="118"/>
      <c r="S28" s="118"/>
      <c r="T28" s="118"/>
      <c r="U28" s="118"/>
      <c r="V28" s="118"/>
      <c r="W28" s="118"/>
      <c r="X28" s="118"/>
      <c r="Y28" s="118"/>
      <c r="Z28" s="123"/>
      <c r="AA28" s="118"/>
      <c r="AB28" s="118"/>
      <c r="AC28" s="118"/>
      <c r="AD28" s="118"/>
      <c r="AE28" s="118"/>
      <c r="AF28" s="118"/>
      <c r="AG28" s="118"/>
      <c r="AH28" s="124">
        <v>1</v>
      </c>
      <c r="AI28" s="13"/>
    </row>
    <row r="29" spans="1:35" s="125" customFormat="1" ht="75" x14ac:dyDescent="0.25">
      <c r="A29" s="137">
        <v>45</v>
      </c>
      <c r="B29" s="117" t="str">
        <f t="shared" si="0"/>
        <v/>
      </c>
      <c r="C29" s="118">
        <f t="shared" si="1"/>
        <v>3</v>
      </c>
      <c r="D29" s="87"/>
      <c r="E29" s="119" t="str">
        <f t="shared" si="2"/>
        <v/>
      </c>
      <c r="F29" s="138" t="str">
        <f t="shared" si="3"/>
        <v>Detailed test plans should be produced by your testing service provider; agreed with your organisation prior to any testing commencing; specify what will actually be done during the test itself; and help to assure the process for a proper security test without creating misunderstandings, misconceptions, or false expectations.</v>
      </c>
      <c r="G29" s="138"/>
      <c r="H29" s="138"/>
      <c r="I29" s="138"/>
      <c r="J29" s="138"/>
      <c r="K29" s="138"/>
      <c r="L29" s="138"/>
      <c r="M29" s="138"/>
      <c r="N29" s="121" t="str">
        <f t="shared" ca="1" si="4"/>
        <v/>
      </c>
      <c r="O29" s="118" t="str">
        <f t="shared" ca="1" si="5"/>
        <v/>
      </c>
      <c r="P29" s="122"/>
      <c r="Q29" s="122"/>
      <c r="R29" s="118"/>
      <c r="S29" s="118"/>
      <c r="T29" s="118"/>
      <c r="U29" s="118"/>
      <c r="V29" s="118"/>
      <c r="W29" s="118"/>
      <c r="X29" s="118"/>
      <c r="Y29" s="118"/>
      <c r="Z29" s="123"/>
      <c r="AA29" s="118"/>
      <c r="AB29" s="118"/>
      <c r="AC29" s="118"/>
      <c r="AD29" s="118"/>
      <c r="AE29" s="118"/>
      <c r="AF29" s="118"/>
      <c r="AG29" s="118"/>
      <c r="AH29" s="121">
        <v>1</v>
      </c>
      <c r="AI29" s="13"/>
    </row>
    <row r="30" spans="1:35" s="125" customFormat="1" ht="30" customHeight="1" x14ac:dyDescent="0.25">
      <c r="A30" s="134">
        <v>46</v>
      </c>
      <c r="B30" s="117" t="str">
        <f t="shared" si="0"/>
        <v>B.8</v>
      </c>
      <c r="C30" s="118">
        <f t="shared" si="1"/>
        <v>2</v>
      </c>
      <c r="D30" s="87"/>
      <c r="E30" s="142" t="str">
        <f t="shared" si="2"/>
        <v>Step 8</v>
      </c>
      <c r="F30" s="143" t="str">
        <f t="shared" si="3"/>
        <v>Identify and exploit vulnerabilities</v>
      </c>
      <c r="G30" s="143"/>
      <c r="H30" s="143"/>
      <c r="I30" s="143"/>
      <c r="J30" s="143"/>
      <c r="K30" s="143"/>
      <c r="L30" s="143"/>
      <c r="M30" s="143"/>
      <c r="N30" s="143" t="str">
        <f t="shared" ca="1" si="4"/>
        <v/>
      </c>
      <c r="O30" s="143" t="str">
        <f t="shared" ca="1" si="5"/>
        <v/>
      </c>
      <c r="P30" s="143"/>
      <c r="Q30" s="143"/>
      <c r="R30" s="143"/>
      <c r="S30" s="143"/>
      <c r="T30" s="143"/>
      <c r="U30" s="143"/>
      <c r="V30" s="143"/>
      <c r="W30" s="143"/>
      <c r="X30" s="143"/>
      <c r="Y30" s="143"/>
      <c r="Z30" s="143"/>
      <c r="AA30" s="143"/>
      <c r="AB30" s="143"/>
      <c r="AC30" s="143"/>
      <c r="AD30" s="143"/>
      <c r="AE30" s="143"/>
      <c r="AF30" s="143"/>
      <c r="AG30" s="143"/>
      <c r="AH30" s="124">
        <v>1</v>
      </c>
      <c r="AI30" s="13"/>
    </row>
    <row r="31" spans="1:35" s="125" customFormat="1" ht="45" x14ac:dyDescent="0.25">
      <c r="A31" s="137">
        <v>47</v>
      </c>
      <c r="B31" s="117" t="str">
        <f t="shared" si="0"/>
        <v>B.8.01</v>
      </c>
      <c r="C31" s="118">
        <f t="shared" si="1"/>
        <v>5</v>
      </c>
      <c r="D31" s="87"/>
      <c r="E31" s="119" t="str">
        <f t="shared" si="2"/>
        <v>B.8.01</v>
      </c>
      <c r="F31" s="140" t="str">
        <f t="shared" si="3"/>
        <v>Does penetration testing include testers identifying a range of potential vulnerabilities in target systems, then trying to exploit the vulnerabilities identified and actually penetrate the target system?</v>
      </c>
      <c r="G31" s="118"/>
      <c r="H31" s="139"/>
      <c r="I31" s="141"/>
      <c r="J31" s="139"/>
      <c r="K31" s="139"/>
      <c r="L31" s="139"/>
      <c r="M31" s="139"/>
      <c r="N31" s="121" t="str">
        <f t="shared" ca="1" si="4"/>
        <v>x 1</v>
      </c>
      <c r="O31" s="121" t="str">
        <f t="shared" ca="1" si="5"/>
        <v/>
      </c>
      <c r="P31" s="122"/>
      <c r="Q31" s="122"/>
      <c r="R31" s="118"/>
      <c r="S31" s="118"/>
      <c r="T31" s="118"/>
      <c r="U31" s="118"/>
      <c r="V31" s="118"/>
      <c r="W31" s="118"/>
      <c r="X31" s="118"/>
      <c r="Y31" s="118"/>
      <c r="Z31" s="123"/>
      <c r="AA31" s="118"/>
      <c r="AB31" s="118"/>
      <c r="AC31" s="118"/>
      <c r="AD31" s="118"/>
      <c r="AE31" s="118"/>
      <c r="AF31" s="118"/>
      <c r="AG31" s="118"/>
      <c r="AH31" s="124">
        <v>1</v>
      </c>
      <c r="AI31" s="13"/>
    </row>
    <row r="32" spans="1:35" s="125" customFormat="1" ht="105" x14ac:dyDescent="0.25">
      <c r="A32" s="137">
        <v>48</v>
      </c>
      <c r="B32" s="117" t="str">
        <f t="shared" si="0"/>
        <v/>
      </c>
      <c r="C32" s="118">
        <f t="shared" si="1"/>
        <v>3</v>
      </c>
      <c r="D32" s="87"/>
      <c r="E32" s="119" t="str">
        <f t="shared" si="2"/>
        <v/>
      </c>
      <c r="F32" s="138" t="str">
        <f t="shared" si="3"/>
        <v>Vulnerability identification and exploitation typically include testers examining: Attack avenues, vectors and threat agents; results from threat analysis; technical system / network / application vulnerabilities; and control weaknesses - supported by a range of techniques (e.g. exploit techniques; escalation techniques; advancement techniques; and analysis techniques) to try and take advantage of specific weaknesses.</v>
      </c>
      <c r="G32" s="138"/>
      <c r="H32" s="138"/>
      <c r="I32" s="138"/>
      <c r="J32" s="138"/>
      <c r="K32" s="138"/>
      <c r="L32" s="138"/>
      <c r="M32" s="138"/>
      <c r="N32" s="121" t="str">
        <f t="shared" ca="1" si="4"/>
        <v/>
      </c>
      <c r="O32" s="118" t="str">
        <f t="shared" ca="1" si="5"/>
        <v/>
      </c>
      <c r="P32" s="122"/>
      <c r="Q32" s="122"/>
      <c r="R32" s="118"/>
      <c r="S32" s="118"/>
      <c r="T32" s="118"/>
      <c r="U32" s="118"/>
      <c r="V32" s="118"/>
      <c r="W32" s="118"/>
      <c r="X32" s="118"/>
      <c r="Y32" s="118"/>
      <c r="Z32" s="123"/>
      <c r="AA32" s="118"/>
      <c r="AB32" s="118"/>
      <c r="AC32" s="118"/>
      <c r="AD32" s="118"/>
      <c r="AE32" s="118"/>
      <c r="AF32" s="118"/>
      <c r="AG32" s="118"/>
      <c r="AH32" s="121">
        <v>1</v>
      </c>
      <c r="AI32" s="13"/>
    </row>
    <row r="33" spans="1:35" s="125" customFormat="1" ht="30" customHeight="1" x14ac:dyDescent="0.25">
      <c r="A33" s="134">
        <v>49</v>
      </c>
      <c r="B33" s="117" t="str">
        <f t="shared" si="0"/>
        <v>B.9</v>
      </c>
      <c r="C33" s="118">
        <f t="shared" si="1"/>
        <v>2</v>
      </c>
      <c r="D33" s="87"/>
      <c r="E33" s="142" t="str">
        <f t="shared" si="2"/>
        <v>Step 9</v>
      </c>
      <c r="F33" s="143" t="str">
        <f t="shared" si="3"/>
        <v>Report key findings</v>
      </c>
      <c r="G33" s="143"/>
      <c r="H33" s="143"/>
      <c r="I33" s="143"/>
      <c r="J33" s="143"/>
      <c r="K33" s="143"/>
      <c r="L33" s="143"/>
      <c r="M33" s="143"/>
      <c r="N33" s="143" t="str">
        <f t="shared" ca="1" si="4"/>
        <v/>
      </c>
      <c r="O33" s="143" t="str">
        <f t="shared" ca="1" si="5"/>
        <v/>
      </c>
      <c r="P33" s="143"/>
      <c r="Q33" s="143"/>
      <c r="R33" s="143"/>
      <c r="S33" s="143"/>
      <c r="T33" s="143"/>
      <c r="U33" s="143"/>
      <c r="V33" s="143"/>
      <c r="W33" s="143"/>
      <c r="X33" s="143"/>
      <c r="Y33" s="143"/>
      <c r="Z33" s="143"/>
      <c r="AA33" s="143"/>
      <c r="AB33" s="143"/>
      <c r="AC33" s="143"/>
      <c r="AD33" s="143"/>
      <c r="AE33" s="143"/>
      <c r="AF33" s="143"/>
      <c r="AG33" s="143"/>
      <c r="AH33" s="124">
        <v>1</v>
      </c>
      <c r="AI33" s="13"/>
    </row>
    <row r="34" spans="1:35" s="125" customFormat="1" ht="30" x14ac:dyDescent="0.25">
      <c r="A34" s="137">
        <v>50</v>
      </c>
      <c r="B34" s="117" t="str">
        <f t="shared" si="0"/>
        <v>B.9.01</v>
      </c>
      <c r="C34" s="118">
        <f t="shared" si="1"/>
        <v>5</v>
      </c>
      <c r="D34" s="87"/>
      <c r="E34" s="119" t="str">
        <f t="shared" si="2"/>
        <v>B.9.01</v>
      </c>
      <c r="F34" s="140" t="str">
        <f t="shared" si="3"/>
        <v>Are findings identified during the penetration test reported to your organisation?</v>
      </c>
      <c r="G34" s="118"/>
      <c r="H34" s="139"/>
      <c r="I34" s="141"/>
      <c r="J34" s="139"/>
      <c r="K34" s="139"/>
      <c r="L34" s="139"/>
      <c r="M34" s="139"/>
      <c r="N34" s="121" t="str">
        <f t="shared" ca="1" si="4"/>
        <v>x 1</v>
      </c>
      <c r="O34" s="121" t="str">
        <f t="shared" ca="1" si="5"/>
        <v/>
      </c>
      <c r="P34" s="122"/>
      <c r="Q34" s="122"/>
      <c r="R34" s="118"/>
      <c r="S34" s="118"/>
      <c r="T34" s="118"/>
      <c r="U34" s="118"/>
      <c r="V34" s="118"/>
      <c r="W34" s="118"/>
      <c r="X34" s="118"/>
      <c r="Y34" s="118"/>
      <c r="Z34" s="123"/>
      <c r="AA34" s="118"/>
      <c r="AB34" s="118"/>
      <c r="AC34" s="118"/>
      <c r="AD34" s="118"/>
      <c r="AE34" s="118"/>
      <c r="AF34" s="118"/>
      <c r="AG34" s="118"/>
      <c r="AH34" s="124">
        <v>1</v>
      </c>
      <c r="AI34" s="13"/>
    </row>
    <row r="35" spans="1:35" s="125" customFormat="1" ht="75" x14ac:dyDescent="0.25">
      <c r="A35" s="137">
        <v>51</v>
      </c>
      <c r="B35" s="117" t="str">
        <f t="shared" si="0"/>
        <v/>
      </c>
      <c r="C35" s="118">
        <f t="shared" si="1"/>
        <v>3</v>
      </c>
      <c r="D35" s="87"/>
      <c r="E35" s="119" t="str">
        <f t="shared" si="2"/>
        <v/>
      </c>
      <c r="F35" s="138" t="str">
        <f t="shared" si="3"/>
        <v>Findings should be formally presented to your organisation by suppliers, who should provide details about: how testers found the vulnerabilities; what could be the outcome of each vulnerability; the level of risk to the business for each vulnerability; and advice on how to remediate each vulnerability.</v>
      </c>
      <c r="G35" s="138"/>
      <c r="H35" s="138"/>
      <c r="I35" s="138"/>
      <c r="J35" s="138"/>
      <c r="K35" s="138"/>
      <c r="L35" s="138"/>
      <c r="M35" s="138"/>
      <c r="N35" s="121" t="str">
        <f t="shared" ca="1" si="4"/>
        <v/>
      </c>
      <c r="O35" s="118" t="str">
        <f t="shared" ca="1" si="5"/>
        <v/>
      </c>
      <c r="P35" s="122"/>
      <c r="Q35" s="122"/>
      <c r="R35" s="118"/>
      <c r="S35" s="118"/>
      <c r="T35" s="118"/>
      <c r="U35" s="118"/>
      <c r="V35" s="118"/>
      <c r="W35" s="118"/>
      <c r="X35" s="118"/>
      <c r="Y35" s="118"/>
      <c r="Z35" s="123"/>
      <c r="AA35" s="118"/>
      <c r="AB35" s="118"/>
      <c r="AC35" s="118"/>
      <c r="AD35" s="118"/>
      <c r="AE35" s="118"/>
      <c r="AF35" s="118"/>
      <c r="AG35" s="118"/>
      <c r="AH35" s="121">
        <v>1</v>
      </c>
      <c r="AI35" s="13"/>
    </row>
  </sheetData>
  <sheetProtection algorithmName="SHA-512" hashValue="iv5MeHNMCy6T1GQfas6GXud6ol+0CASz+SoAtF4wmj7I2n5dNEbLxqwc9Laz9zsT4G5H0k8LoOpJyPRuFbcFWQ==" saltValue="CKNJc32FjktDIqnLsnoaYA==" spinCount="100000" sheet="1" objects="1" scenarios="1"/>
  <sortState xmlns:xlrd2="http://schemas.microsoft.com/office/spreadsheetml/2017/richdata2" ref="A8:DI35">
    <sortCondition ref="A8:A35"/>
  </sortState>
  <dataConsolidate/>
  <mergeCells count="1">
    <mergeCell ref="F2:F5"/>
  </mergeCells>
  <pageMargins left="0.7" right="0.7" top="0.75" bottom="0.75" header="0.3" footer="0.3"/>
  <pageSetup paperSize="9" scale="38" fitToHeight="0"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76129" r:id="rId4" name="Drop Down 1">
              <controlPr locked="0" defaultSize="0" autoFill="0" autoPict="0">
                <anchor moveWithCells="1">
                  <from>
                    <xdr:col>6</xdr:col>
                    <xdr:colOff>400050</xdr:colOff>
                    <xdr:row>8</xdr:row>
                    <xdr:rowOff>76200</xdr:rowOff>
                  </from>
                  <to>
                    <xdr:col>6</xdr:col>
                    <xdr:colOff>1638300</xdr:colOff>
                    <xdr:row>8</xdr:row>
                    <xdr:rowOff>304800</xdr:rowOff>
                  </to>
                </anchor>
              </controlPr>
            </control>
          </mc:Choice>
        </mc:AlternateContent>
        <mc:AlternateContent xmlns:mc="http://schemas.openxmlformats.org/markup-compatibility/2006">
          <mc:Choice Requires="x14">
            <control shapeId="176136" r:id="rId5" name="Drop Down 8">
              <controlPr locked="0" defaultSize="0" autoFill="0" autoPict="0">
                <anchor moveWithCells="1">
                  <from>
                    <xdr:col>6</xdr:col>
                    <xdr:colOff>400050</xdr:colOff>
                    <xdr:row>11</xdr:row>
                    <xdr:rowOff>76200</xdr:rowOff>
                  </from>
                  <to>
                    <xdr:col>6</xdr:col>
                    <xdr:colOff>1638300</xdr:colOff>
                    <xdr:row>11</xdr:row>
                    <xdr:rowOff>304800</xdr:rowOff>
                  </to>
                </anchor>
              </controlPr>
            </control>
          </mc:Choice>
        </mc:AlternateContent>
        <mc:AlternateContent xmlns:mc="http://schemas.openxmlformats.org/markup-compatibility/2006">
          <mc:Choice Requires="x14">
            <control shapeId="176137" r:id="rId6" name="Drop Down 9">
              <controlPr locked="0" defaultSize="0" autoFill="0" autoPict="0">
                <anchor moveWithCells="1">
                  <from>
                    <xdr:col>6</xdr:col>
                    <xdr:colOff>400050</xdr:colOff>
                    <xdr:row>14</xdr:row>
                    <xdr:rowOff>76200</xdr:rowOff>
                  </from>
                  <to>
                    <xdr:col>6</xdr:col>
                    <xdr:colOff>1638300</xdr:colOff>
                    <xdr:row>14</xdr:row>
                    <xdr:rowOff>304800</xdr:rowOff>
                  </to>
                </anchor>
              </controlPr>
            </control>
          </mc:Choice>
        </mc:AlternateContent>
        <mc:AlternateContent xmlns:mc="http://schemas.openxmlformats.org/markup-compatibility/2006">
          <mc:Choice Requires="x14">
            <control shapeId="176138" r:id="rId7" name="Drop Down 10">
              <controlPr locked="0" defaultSize="0" autoFill="0" autoPict="0">
                <anchor moveWithCells="1">
                  <from>
                    <xdr:col>6</xdr:col>
                    <xdr:colOff>400050</xdr:colOff>
                    <xdr:row>17</xdr:row>
                    <xdr:rowOff>76200</xdr:rowOff>
                  </from>
                  <to>
                    <xdr:col>6</xdr:col>
                    <xdr:colOff>1638300</xdr:colOff>
                    <xdr:row>17</xdr:row>
                    <xdr:rowOff>304800</xdr:rowOff>
                  </to>
                </anchor>
              </controlPr>
            </control>
          </mc:Choice>
        </mc:AlternateContent>
        <mc:AlternateContent xmlns:mc="http://schemas.openxmlformats.org/markup-compatibility/2006">
          <mc:Choice Requires="x14">
            <control shapeId="176139" r:id="rId8" name="Drop Down 11">
              <controlPr locked="0" defaultSize="0" autoFill="0" autoPict="0">
                <anchor moveWithCells="1">
                  <from>
                    <xdr:col>6</xdr:col>
                    <xdr:colOff>400050</xdr:colOff>
                    <xdr:row>21</xdr:row>
                    <xdr:rowOff>76200</xdr:rowOff>
                  </from>
                  <to>
                    <xdr:col>6</xdr:col>
                    <xdr:colOff>1638300</xdr:colOff>
                    <xdr:row>21</xdr:row>
                    <xdr:rowOff>304800</xdr:rowOff>
                  </to>
                </anchor>
              </controlPr>
            </control>
          </mc:Choice>
        </mc:AlternateContent>
        <mc:AlternateContent xmlns:mc="http://schemas.openxmlformats.org/markup-compatibility/2006">
          <mc:Choice Requires="x14">
            <control shapeId="176140" r:id="rId9" name="Drop Down 12">
              <controlPr locked="0" defaultSize="0" autoFill="0" autoPict="0">
                <anchor moveWithCells="1">
                  <from>
                    <xdr:col>6</xdr:col>
                    <xdr:colOff>400050</xdr:colOff>
                    <xdr:row>24</xdr:row>
                    <xdr:rowOff>76200</xdr:rowOff>
                  </from>
                  <to>
                    <xdr:col>6</xdr:col>
                    <xdr:colOff>1638300</xdr:colOff>
                    <xdr:row>24</xdr:row>
                    <xdr:rowOff>304800</xdr:rowOff>
                  </to>
                </anchor>
              </controlPr>
            </control>
          </mc:Choice>
        </mc:AlternateContent>
        <mc:AlternateContent xmlns:mc="http://schemas.openxmlformats.org/markup-compatibility/2006">
          <mc:Choice Requires="x14">
            <control shapeId="176141" r:id="rId10" name="Drop Down 13">
              <controlPr locked="0" defaultSize="0" autoFill="0" autoPict="0">
                <anchor moveWithCells="1">
                  <from>
                    <xdr:col>6</xdr:col>
                    <xdr:colOff>400050</xdr:colOff>
                    <xdr:row>27</xdr:row>
                    <xdr:rowOff>76200</xdr:rowOff>
                  </from>
                  <to>
                    <xdr:col>6</xdr:col>
                    <xdr:colOff>1638300</xdr:colOff>
                    <xdr:row>27</xdr:row>
                    <xdr:rowOff>304800</xdr:rowOff>
                  </to>
                </anchor>
              </controlPr>
            </control>
          </mc:Choice>
        </mc:AlternateContent>
        <mc:AlternateContent xmlns:mc="http://schemas.openxmlformats.org/markup-compatibility/2006">
          <mc:Choice Requires="x14">
            <control shapeId="176142" r:id="rId11" name="Drop Down 14">
              <controlPr locked="0" defaultSize="0" autoFill="0" autoPict="0">
                <anchor moveWithCells="1">
                  <from>
                    <xdr:col>6</xdr:col>
                    <xdr:colOff>400050</xdr:colOff>
                    <xdr:row>30</xdr:row>
                    <xdr:rowOff>76200</xdr:rowOff>
                  </from>
                  <to>
                    <xdr:col>6</xdr:col>
                    <xdr:colOff>1638300</xdr:colOff>
                    <xdr:row>30</xdr:row>
                    <xdr:rowOff>304800</xdr:rowOff>
                  </to>
                </anchor>
              </controlPr>
            </control>
          </mc:Choice>
        </mc:AlternateContent>
        <mc:AlternateContent xmlns:mc="http://schemas.openxmlformats.org/markup-compatibility/2006">
          <mc:Choice Requires="x14">
            <control shapeId="176143" r:id="rId12" name="Drop Down 15">
              <controlPr locked="0" defaultSize="0" autoFill="0" autoPict="0">
                <anchor moveWithCells="1">
                  <from>
                    <xdr:col>6</xdr:col>
                    <xdr:colOff>400050</xdr:colOff>
                    <xdr:row>33</xdr:row>
                    <xdr:rowOff>76200</xdr:rowOff>
                  </from>
                  <to>
                    <xdr:col>6</xdr:col>
                    <xdr:colOff>1638300</xdr:colOff>
                    <xdr:row>33</xdr:row>
                    <xdr:rowOff>304800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5">
    <tabColor rgb="FFFF0000"/>
    <pageSetUpPr autoPageBreaks="0" fitToPage="1"/>
  </sheetPr>
  <dimension ref="A2:AI25"/>
  <sheetViews>
    <sheetView showGridLines="0" showRowColHeaders="0" zoomScaleNormal="100" workbookViewId="0">
      <pane ySplit="7" topLeftCell="A8" activePane="bottomLeft" state="frozen"/>
      <selection pane="bottomLeft" activeCell="E9" sqref="E9"/>
    </sheetView>
  </sheetViews>
  <sheetFormatPr defaultColWidth="9.140625" defaultRowHeight="15" x14ac:dyDescent="0.25"/>
  <cols>
    <col min="1" max="1" width="9.28515625" style="21" hidden="1" customWidth="1"/>
    <col min="2" max="3" width="8.85546875" style="21" hidden="1" customWidth="1"/>
    <col min="4" max="4" width="6.28515625" style="135" customWidth="1"/>
    <col min="5" max="5" width="15.5703125" style="21" customWidth="1"/>
    <col min="6" max="6" width="67.42578125" style="21" customWidth="1"/>
    <col min="7" max="7" width="29.7109375" style="135" customWidth="1"/>
    <col min="8" max="8" width="7.7109375" style="135" hidden="1" customWidth="1"/>
    <col min="9" max="9" width="9.7109375" style="135" hidden="1" customWidth="1"/>
    <col min="10" max="13" width="7.7109375" style="135" hidden="1" customWidth="1"/>
    <col min="14" max="14" width="13.140625" style="21" hidden="1" customWidth="1"/>
    <col min="15" max="15" width="13.140625" style="21" customWidth="1"/>
    <col min="16" max="16" width="28.42578125" style="21" customWidth="1"/>
    <col min="17" max="17" width="41.7109375" style="21" customWidth="1"/>
    <col min="18" max="26" width="9.140625" style="21" customWidth="1"/>
    <col min="27" max="27" width="9.140625" style="21" hidden="1" customWidth="1"/>
    <col min="28" max="33" width="9.140625" style="21" customWidth="1"/>
    <col min="34" max="34" width="9.140625" style="78" hidden="1" customWidth="1"/>
    <col min="35" max="35" width="9.140625" style="13" customWidth="1"/>
    <col min="36" max="39" width="9.140625" style="21" customWidth="1"/>
    <col min="40" max="16384" width="9.140625" style="21"/>
  </cols>
  <sheetData>
    <row r="2" spans="1:35" s="53" customFormat="1" ht="15" customHeight="1" x14ac:dyDescent="0.25">
      <c r="A2" s="50"/>
      <c r="B2" s="21"/>
      <c r="C2" s="21"/>
      <c r="D2" s="135"/>
      <c r="E2" s="21"/>
      <c r="F2" s="313" t="str">
        <f ca="1">"Maturity model for Stage "&amp;LEFT(B8,1)&amp;" - "&amp;VLOOKUP(A8-1,Contents_Text,7,FALSE)</f>
        <v>Maturity model for Stage C - Follow up</v>
      </c>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78"/>
      <c r="AI2" s="13"/>
    </row>
    <row r="3" spans="1:35" s="53" customFormat="1" ht="15" customHeight="1" x14ac:dyDescent="0.25">
      <c r="A3" s="21"/>
      <c r="B3" s="21"/>
      <c r="C3" s="21"/>
      <c r="D3" s="135"/>
      <c r="E3" s="21"/>
      <c r="F3" s="313"/>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78"/>
      <c r="AI3" s="13"/>
    </row>
    <row r="4" spans="1:35" s="53" customFormat="1" ht="15" customHeight="1" x14ac:dyDescent="0.25">
      <c r="A4" s="21"/>
      <c r="B4" s="21"/>
      <c r="C4" s="21"/>
      <c r="D4" s="135"/>
      <c r="E4" s="21"/>
      <c r="F4" s="313"/>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78"/>
      <c r="AI4" s="13"/>
    </row>
    <row r="5" spans="1:35" s="53" customFormat="1" ht="15" customHeight="1" x14ac:dyDescent="0.25">
      <c r="A5" s="21"/>
      <c r="B5" s="21"/>
      <c r="C5" s="21"/>
      <c r="D5" s="135"/>
      <c r="E5" s="21"/>
      <c r="F5" s="313"/>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78"/>
      <c r="AI5" s="13"/>
    </row>
    <row r="6" spans="1:35" ht="11.25" customHeight="1" x14ac:dyDescent="0.25"/>
    <row r="7" spans="1:35" ht="36" customHeight="1" thickBot="1" x14ac:dyDescent="0.35">
      <c r="F7" s="54"/>
      <c r="G7" s="180" t="s">
        <v>47</v>
      </c>
      <c r="H7" s="180"/>
      <c r="I7" s="180"/>
      <c r="J7" s="180"/>
      <c r="K7" s="180"/>
      <c r="L7" s="180"/>
      <c r="M7" s="180"/>
      <c r="N7" s="55" t="s">
        <v>8</v>
      </c>
      <c r="O7" s="56" t="s">
        <v>194</v>
      </c>
      <c r="P7" s="57" t="s">
        <v>48</v>
      </c>
      <c r="Q7" s="57" t="s">
        <v>0</v>
      </c>
      <c r="AH7" s="204" t="s">
        <v>132</v>
      </c>
    </row>
    <row r="8" spans="1:35" s="74" customFormat="1" ht="30" customHeight="1" x14ac:dyDescent="0.25">
      <c r="A8" s="72">
        <v>53</v>
      </c>
      <c r="B8" s="73" t="str">
        <f t="shared" ref="B8:B25" si="0">VLOOKUP(A8,contentrefmockup,2,FALSE)</f>
        <v>C.1</v>
      </c>
      <c r="C8" s="20">
        <f t="shared" ref="C8:C25" si="1">VLOOKUP(A8,contentrefmockup,15,FALSE)</f>
        <v>2</v>
      </c>
      <c r="D8" s="20"/>
      <c r="E8" s="142" t="str">
        <f t="shared" ref="E8:E25" si="2">IF(C8=1,"Phase "&amp;B8,IF(C8=2,"Step "&amp;VLOOKUP(A8,contentrefmockup,4,FALSE),B8))</f>
        <v>Step 1</v>
      </c>
      <c r="F8" s="143" t="str">
        <f t="shared" ref="F8:F25" si="3">VLOOKUP(A8,contentrefmockup,7,FALSE)</f>
        <v>Remediate weaknesses</v>
      </c>
      <c r="G8" s="143"/>
      <c r="H8" s="143"/>
      <c r="I8" s="143"/>
      <c r="J8" s="143"/>
      <c r="K8" s="143"/>
      <c r="L8" s="143"/>
      <c r="M8" s="143"/>
      <c r="N8" s="143" t="str">
        <f t="shared" ref="N8:N25" ca="1" si="4">IFERROR(IF(VLOOKUP(A8,Weightings_Assessments,25,FALSE)=0,"",VLOOKUP(A8,Weightings_Assessments,25,FALSE)),"")</f>
        <v/>
      </c>
      <c r="O8" s="143" t="str">
        <f t="shared" ref="O8:O25" ca="1" si="5">IFERROR(VLOOKUP(AH8,detail_maturity_score,3,FALSE)*VLOOKUP(A8,Weightings_Assessments,23,FALSE),"")</f>
        <v/>
      </c>
      <c r="P8" s="143"/>
      <c r="Q8" s="143"/>
      <c r="R8" s="143"/>
      <c r="S8" s="143"/>
      <c r="T8" s="143"/>
      <c r="U8" s="143"/>
      <c r="V8" s="143"/>
      <c r="W8" s="143"/>
      <c r="X8" s="143"/>
      <c r="Y8" s="143"/>
      <c r="Z8" s="143"/>
      <c r="AA8" s="143"/>
      <c r="AB8" s="143"/>
      <c r="AC8" s="143"/>
      <c r="AD8" s="143"/>
      <c r="AE8" s="143"/>
      <c r="AF8" s="143"/>
      <c r="AG8" s="143"/>
      <c r="AH8" s="77"/>
      <c r="AI8" s="13"/>
    </row>
    <row r="9" spans="1:35" s="74" customFormat="1" ht="30" x14ac:dyDescent="0.25">
      <c r="A9" s="203">
        <v>54</v>
      </c>
      <c r="B9" s="73" t="str">
        <f t="shared" si="0"/>
        <v>C.1.01</v>
      </c>
      <c r="C9" s="20">
        <f t="shared" si="1"/>
        <v>5</v>
      </c>
      <c r="D9" s="20"/>
      <c r="E9" s="119" t="str">
        <f t="shared" si="2"/>
        <v>C.1.01</v>
      </c>
      <c r="F9" s="140" t="str">
        <f t="shared" si="3"/>
        <v>Do follow-up activities include remediating weaknesses found during the testing process, reducing the risk of them being exploited again?</v>
      </c>
      <c r="G9" s="118"/>
      <c r="H9" s="139"/>
      <c r="I9" s="141"/>
      <c r="J9" s="139"/>
      <c r="K9" s="139"/>
      <c r="L9" s="139"/>
      <c r="M9" s="139"/>
      <c r="N9" s="121" t="str">
        <f t="shared" ca="1" si="4"/>
        <v>x 1</v>
      </c>
      <c r="O9" s="121" t="str">
        <f t="shared" ca="1" si="5"/>
        <v/>
      </c>
      <c r="P9" s="122"/>
      <c r="Q9" s="122"/>
      <c r="R9" s="118"/>
      <c r="S9" s="118"/>
      <c r="T9" s="118"/>
      <c r="U9" s="118"/>
      <c r="V9" s="118"/>
      <c r="W9" s="118"/>
      <c r="X9" s="118"/>
      <c r="Y9" s="118"/>
      <c r="Z9" s="123"/>
      <c r="AA9" s="118">
        <v>1</v>
      </c>
      <c r="AB9" s="118"/>
      <c r="AC9" s="118"/>
      <c r="AD9" s="118"/>
      <c r="AE9" s="118"/>
      <c r="AF9" s="118"/>
      <c r="AG9" s="118"/>
      <c r="AH9" s="77">
        <v>1</v>
      </c>
      <c r="AI9" s="13"/>
    </row>
    <row r="10" spans="1:35" s="74" customFormat="1" ht="105" x14ac:dyDescent="0.25">
      <c r="A10" s="203">
        <v>55</v>
      </c>
      <c r="B10" s="73" t="str">
        <f t="shared" si="0"/>
        <v/>
      </c>
      <c r="C10" s="20">
        <f t="shared" si="1"/>
        <v>3</v>
      </c>
      <c r="D10" s="20"/>
      <c r="E10" s="119" t="str">
        <f t="shared" si="2"/>
        <v/>
      </c>
      <c r="F10" s="138" t="str">
        <f t="shared" si="3"/>
        <v>An effective remediation process should include addressing all issues; applying immediate or short terms solutions (e.g. patching systems, closing ports and preventing traffic from particular web sites or IP addresses), replicating results of penetration tests, determining which weaknesses to address first (e.g. based on risk ratings for critical assets), and reporting weaknesses to relevant third party organisations.</v>
      </c>
      <c r="G10" s="138"/>
      <c r="H10" s="138"/>
      <c r="I10" s="138"/>
      <c r="J10" s="138"/>
      <c r="K10" s="138"/>
      <c r="L10" s="138"/>
      <c r="M10" s="138"/>
      <c r="N10" s="121" t="str">
        <f t="shared" ca="1" si="4"/>
        <v/>
      </c>
      <c r="O10" s="118" t="str">
        <f t="shared" ca="1" si="5"/>
        <v/>
      </c>
      <c r="P10" s="122"/>
      <c r="Q10" s="122"/>
      <c r="R10" s="118"/>
      <c r="S10" s="118"/>
      <c r="T10" s="118"/>
      <c r="U10" s="118"/>
      <c r="V10" s="118"/>
      <c r="W10" s="118"/>
      <c r="X10" s="118"/>
      <c r="Y10" s="118"/>
      <c r="Z10" s="123"/>
      <c r="AA10" s="118"/>
      <c r="AB10" s="118"/>
      <c r="AC10" s="118"/>
      <c r="AD10" s="118"/>
      <c r="AE10" s="118"/>
      <c r="AF10" s="118"/>
      <c r="AG10" s="118"/>
      <c r="AH10" s="202"/>
      <c r="AI10" s="13"/>
    </row>
    <row r="11" spans="1:35" s="74" customFormat="1" ht="30" customHeight="1" x14ac:dyDescent="0.25">
      <c r="A11" s="72">
        <v>56</v>
      </c>
      <c r="B11" s="73" t="str">
        <f t="shared" si="0"/>
        <v>C.2</v>
      </c>
      <c r="C11" s="20">
        <f t="shared" si="1"/>
        <v>2</v>
      </c>
      <c r="D11" s="20"/>
      <c r="E11" s="142" t="str">
        <f t="shared" si="2"/>
        <v>Step 2</v>
      </c>
      <c r="F11" s="143" t="str">
        <f t="shared" si="3"/>
        <v>Address root causes of weaknesses</v>
      </c>
      <c r="G11" s="143"/>
      <c r="H11" s="143"/>
      <c r="I11" s="143"/>
      <c r="J11" s="143"/>
      <c r="K11" s="143"/>
      <c r="L11" s="143"/>
      <c r="M11" s="143"/>
      <c r="N11" s="143" t="str">
        <f t="shared" ca="1" si="4"/>
        <v/>
      </c>
      <c r="O11" s="143" t="str">
        <f t="shared" ca="1" si="5"/>
        <v/>
      </c>
      <c r="P11" s="143"/>
      <c r="Q11" s="143"/>
      <c r="R11" s="143"/>
      <c r="S11" s="143"/>
      <c r="T11" s="143"/>
      <c r="U11" s="143"/>
      <c r="V11" s="143"/>
      <c r="W11" s="143"/>
      <c r="X11" s="143"/>
      <c r="Y11" s="143"/>
      <c r="Z11" s="143"/>
      <c r="AA11" s="143"/>
      <c r="AB11" s="143"/>
      <c r="AC11" s="143"/>
      <c r="AD11" s="143"/>
      <c r="AE11" s="143"/>
      <c r="AF11" s="143"/>
      <c r="AG11" s="143"/>
      <c r="AH11" s="77"/>
      <c r="AI11" s="13"/>
    </row>
    <row r="12" spans="1:35" s="74" customFormat="1" ht="30" x14ac:dyDescent="0.25">
      <c r="A12" s="203">
        <v>57</v>
      </c>
      <c r="B12" s="73" t="str">
        <f t="shared" si="0"/>
        <v>C.2.01</v>
      </c>
      <c r="C12" s="20">
        <f t="shared" si="1"/>
        <v>5</v>
      </c>
      <c r="D12" s="20"/>
      <c r="E12" s="119" t="str">
        <f t="shared" si="2"/>
        <v>C.2.01</v>
      </c>
      <c r="F12" s="140" t="str">
        <f t="shared" si="3"/>
        <v>Do follow-up activities include analysing and addressing the root causes of weaknesses identified in penetration testing?</v>
      </c>
      <c r="G12" s="118"/>
      <c r="H12" s="139"/>
      <c r="I12" s="141"/>
      <c r="J12" s="139"/>
      <c r="K12" s="139"/>
      <c r="L12" s="139"/>
      <c r="M12" s="139"/>
      <c r="N12" s="121" t="str">
        <f t="shared" ca="1" si="4"/>
        <v>x 1</v>
      </c>
      <c r="O12" s="121" t="str">
        <f t="shared" ca="1" si="5"/>
        <v/>
      </c>
      <c r="P12" s="122"/>
      <c r="Q12" s="122"/>
      <c r="R12" s="118"/>
      <c r="S12" s="118"/>
      <c r="T12" s="118"/>
      <c r="U12" s="118"/>
      <c r="V12" s="118"/>
      <c r="W12" s="118"/>
      <c r="X12" s="118"/>
      <c r="Y12" s="118"/>
      <c r="Z12" s="123"/>
      <c r="AA12" s="118">
        <v>1</v>
      </c>
      <c r="AB12" s="118"/>
      <c r="AC12" s="118"/>
      <c r="AD12" s="118"/>
      <c r="AE12" s="118"/>
      <c r="AF12" s="118"/>
      <c r="AG12" s="118"/>
      <c r="AH12" s="77">
        <v>1</v>
      </c>
      <c r="AI12" s="13"/>
    </row>
    <row r="13" spans="1:35" s="74" customFormat="1" ht="75" x14ac:dyDescent="0.25">
      <c r="A13" s="203">
        <v>58</v>
      </c>
      <c r="B13" s="73" t="str">
        <f t="shared" si="0"/>
        <v/>
      </c>
      <c r="C13" s="20">
        <f t="shared" si="1"/>
        <v>3</v>
      </c>
      <c r="D13" s="20"/>
      <c r="E13" s="119" t="str">
        <f t="shared" si="2"/>
        <v/>
      </c>
      <c r="F13" s="138" t="str">
        <f t="shared" si="3"/>
        <v>Root cause analysis should include: identifying the real root causes of exposures; evaluating potential business impact; identifying more endemic or fundamental root causes; involving qualified, experienced security professionals to help define corrective action strategy and plans.</v>
      </c>
      <c r="G13" s="138"/>
      <c r="H13" s="138"/>
      <c r="I13" s="138"/>
      <c r="J13" s="138"/>
      <c r="K13" s="138"/>
      <c r="L13" s="138"/>
      <c r="M13" s="138"/>
      <c r="N13" s="121" t="str">
        <f t="shared" ca="1" si="4"/>
        <v/>
      </c>
      <c r="O13" s="118" t="str">
        <f t="shared" ca="1" si="5"/>
        <v/>
      </c>
      <c r="P13" s="122"/>
      <c r="Q13" s="122"/>
      <c r="R13" s="118"/>
      <c r="S13" s="118"/>
      <c r="T13" s="118"/>
      <c r="U13" s="118"/>
      <c r="V13" s="118"/>
      <c r="W13" s="118"/>
      <c r="X13" s="118"/>
      <c r="Y13" s="118"/>
      <c r="Z13" s="123"/>
      <c r="AA13" s="118"/>
      <c r="AB13" s="118"/>
      <c r="AC13" s="118"/>
      <c r="AD13" s="118"/>
      <c r="AE13" s="118"/>
      <c r="AF13" s="118"/>
      <c r="AG13" s="118"/>
      <c r="AH13" s="202">
        <v>1</v>
      </c>
      <c r="AI13" s="13"/>
    </row>
    <row r="14" spans="1:35" s="74" customFormat="1" ht="30" customHeight="1" x14ac:dyDescent="0.25">
      <c r="A14" s="72">
        <v>59</v>
      </c>
      <c r="B14" s="73" t="str">
        <f t="shared" si="0"/>
        <v>C.3</v>
      </c>
      <c r="C14" s="20">
        <f t="shared" si="1"/>
        <v>2</v>
      </c>
      <c r="D14" s="20"/>
      <c r="E14" s="142" t="str">
        <f t="shared" si="2"/>
        <v>Step 3</v>
      </c>
      <c r="F14" s="143" t="str">
        <f t="shared" si="3"/>
        <v>Initiate improvement programme</v>
      </c>
      <c r="G14" s="143"/>
      <c r="H14" s="143"/>
      <c r="I14" s="143"/>
      <c r="J14" s="143"/>
      <c r="K14" s="143"/>
      <c r="L14" s="143"/>
      <c r="M14" s="143"/>
      <c r="N14" s="143" t="str">
        <f t="shared" ca="1" si="4"/>
        <v/>
      </c>
      <c r="O14" s="143" t="str">
        <f t="shared" ca="1" si="5"/>
        <v/>
      </c>
      <c r="P14" s="143"/>
      <c r="Q14" s="143"/>
      <c r="R14" s="143"/>
      <c r="S14" s="143"/>
      <c r="T14" s="143"/>
      <c r="U14" s="143"/>
      <c r="V14" s="143"/>
      <c r="W14" s="143"/>
      <c r="X14" s="143"/>
      <c r="Y14" s="143"/>
      <c r="Z14" s="143"/>
      <c r="AA14" s="143"/>
      <c r="AB14" s="143"/>
      <c r="AC14" s="143"/>
      <c r="AD14" s="143"/>
      <c r="AE14" s="143"/>
      <c r="AF14" s="143"/>
      <c r="AG14" s="143"/>
      <c r="AH14" s="77"/>
      <c r="AI14" s="13"/>
    </row>
    <row r="15" spans="1:35" s="74" customFormat="1" ht="30" x14ac:dyDescent="0.25">
      <c r="A15" s="203">
        <v>60</v>
      </c>
      <c r="B15" s="73" t="str">
        <f t="shared" si="0"/>
        <v>C.3.01</v>
      </c>
      <c r="C15" s="20">
        <f t="shared" si="1"/>
        <v>5</v>
      </c>
      <c r="D15" s="20"/>
      <c r="E15" s="119" t="str">
        <f t="shared" si="2"/>
        <v>C.3.01</v>
      </c>
      <c r="F15" s="140" t="str">
        <f t="shared" si="3"/>
        <v>On completion of penetration tests, is an improvement programme initiated?</v>
      </c>
      <c r="G15" s="118"/>
      <c r="H15" s="139"/>
      <c r="I15" s="141"/>
      <c r="J15" s="139"/>
      <c r="K15" s="139"/>
      <c r="L15" s="139"/>
      <c r="M15" s="139"/>
      <c r="N15" s="121" t="str">
        <f t="shared" ca="1" si="4"/>
        <v>x 1</v>
      </c>
      <c r="O15" s="121" t="str">
        <f t="shared" ca="1" si="5"/>
        <v/>
      </c>
      <c r="P15" s="122"/>
      <c r="Q15" s="122"/>
      <c r="R15" s="118"/>
      <c r="S15" s="118"/>
      <c r="T15" s="118"/>
      <c r="U15" s="118"/>
      <c r="V15" s="118"/>
      <c r="W15" s="118"/>
      <c r="X15" s="118"/>
      <c r="Y15" s="118"/>
      <c r="Z15" s="123"/>
      <c r="AA15" s="118">
        <v>1</v>
      </c>
      <c r="AB15" s="118"/>
      <c r="AC15" s="118"/>
      <c r="AD15" s="118"/>
      <c r="AE15" s="118"/>
      <c r="AF15" s="118"/>
      <c r="AG15" s="118"/>
      <c r="AH15" s="77">
        <v>1</v>
      </c>
      <c r="AI15" s="13"/>
    </row>
    <row r="16" spans="1:35" s="74" customFormat="1" ht="75" x14ac:dyDescent="0.25">
      <c r="A16" s="203">
        <v>61</v>
      </c>
      <c r="B16" s="73" t="str">
        <f t="shared" si="0"/>
        <v/>
      </c>
      <c r="C16" s="20">
        <f t="shared" si="1"/>
        <v>3</v>
      </c>
      <c r="D16" s="20"/>
      <c r="E16" s="119" t="str">
        <f t="shared" si="2"/>
        <v/>
      </c>
      <c r="F16" s="138" t="str">
        <f t="shared" si="3"/>
        <v>The improvement programme should be carried out in a structured / systematic manner: addressing root causes of weakness; evaluating penetration testing effectiveness; identifying lessons learned; applying good practice enterprise-wide; creating and monitoring action plans; and agreeing approaches for future testing.</v>
      </c>
      <c r="G16" s="138"/>
      <c r="H16" s="138"/>
      <c r="I16" s="138"/>
      <c r="J16" s="138"/>
      <c r="K16" s="138"/>
      <c r="L16" s="138"/>
      <c r="M16" s="138"/>
      <c r="N16" s="121" t="str">
        <f t="shared" ca="1" si="4"/>
        <v/>
      </c>
      <c r="O16" s="118" t="str">
        <f t="shared" ca="1" si="5"/>
        <v/>
      </c>
      <c r="P16" s="122"/>
      <c r="Q16" s="122"/>
      <c r="R16" s="118"/>
      <c r="S16" s="118"/>
      <c r="T16" s="118"/>
      <c r="U16" s="118"/>
      <c r="V16" s="118"/>
      <c r="W16" s="118"/>
      <c r="X16" s="118"/>
      <c r="Y16" s="118"/>
      <c r="Z16" s="123"/>
      <c r="AA16" s="118"/>
      <c r="AB16" s="118"/>
      <c r="AC16" s="118"/>
      <c r="AD16" s="118"/>
      <c r="AE16" s="118"/>
      <c r="AF16" s="118"/>
      <c r="AG16" s="118"/>
      <c r="AH16" s="202">
        <v>1</v>
      </c>
      <c r="AI16" s="13"/>
    </row>
    <row r="17" spans="1:35" s="74" customFormat="1" ht="30" customHeight="1" x14ac:dyDescent="0.25">
      <c r="A17" s="72">
        <v>62</v>
      </c>
      <c r="B17" s="73" t="str">
        <f t="shared" si="0"/>
        <v>C.4</v>
      </c>
      <c r="C17" s="20">
        <f t="shared" si="1"/>
        <v>2</v>
      </c>
      <c r="D17" s="20"/>
      <c r="E17" s="142" t="str">
        <f t="shared" si="2"/>
        <v>Step 4</v>
      </c>
      <c r="F17" s="143" t="str">
        <f t="shared" si="3"/>
        <v>Evaluate penetration testing effectiveness</v>
      </c>
      <c r="G17" s="143"/>
      <c r="H17" s="143"/>
      <c r="I17" s="143"/>
      <c r="J17" s="143"/>
      <c r="K17" s="143"/>
      <c r="L17" s="143"/>
      <c r="M17" s="143"/>
      <c r="N17" s="143" t="str">
        <f t="shared" ca="1" si="4"/>
        <v/>
      </c>
      <c r="O17" s="143" t="str">
        <f t="shared" ca="1" si="5"/>
        <v/>
      </c>
      <c r="P17" s="143"/>
      <c r="Q17" s="143"/>
      <c r="R17" s="143"/>
      <c r="S17" s="143"/>
      <c r="T17" s="143"/>
      <c r="U17" s="143"/>
      <c r="V17" s="143"/>
      <c r="W17" s="143"/>
      <c r="X17" s="143"/>
      <c r="Y17" s="143"/>
      <c r="Z17" s="143"/>
      <c r="AA17" s="143"/>
      <c r="AB17" s="143"/>
      <c r="AC17" s="143"/>
      <c r="AD17" s="143"/>
      <c r="AE17" s="143"/>
      <c r="AF17" s="143"/>
      <c r="AG17" s="143"/>
      <c r="AH17" s="77"/>
      <c r="AI17" s="13"/>
    </row>
    <row r="18" spans="1:35" s="74" customFormat="1" ht="30" customHeight="1" x14ac:dyDescent="0.25">
      <c r="A18" s="203">
        <v>63</v>
      </c>
      <c r="B18" s="73" t="str">
        <f t="shared" si="0"/>
        <v>C.4.01</v>
      </c>
      <c r="C18" s="20">
        <f t="shared" si="1"/>
        <v>5</v>
      </c>
      <c r="D18" s="20"/>
      <c r="E18" s="119" t="str">
        <f t="shared" si="2"/>
        <v>C.4.01</v>
      </c>
      <c r="F18" s="140" t="str">
        <f t="shared" si="3"/>
        <v>Is the effectiveness of your penetration tests evaluated?</v>
      </c>
      <c r="G18" s="118"/>
      <c r="H18" s="139"/>
      <c r="I18" s="141"/>
      <c r="J18" s="139"/>
      <c r="K18" s="139"/>
      <c r="L18" s="139"/>
      <c r="M18" s="139"/>
      <c r="N18" s="121" t="str">
        <f t="shared" ca="1" si="4"/>
        <v>x 1</v>
      </c>
      <c r="O18" s="121" t="str">
        <f t="shared" ca="1" si="5"/>
        <v/>
      </c>
      <c r="P18" s="122"/>
      <c r="Q18" s="122"/>
      <c r="R18" s="118"/>
      <c r="S18" s="118"/>
      <c r="T18" s="118"/>
      <c r="U18" s="118"/>
      <c r="V18" s="118"/>
      <c r="W18" s="118"/>
      <c r="X18" s="118"/>
      <c r="Y18" s="118"/>
      <c r="Z18" s="123"/>
      <c r="AA18" s="118">
        <v>1</v>
      </c>
      <c r="AB18" s="118"/>
      <c r="AC18" s="118"/>
      <c r="AD18" s="118"/>
      <c r="AE18" s="118"/>
      <c r="AF18" s="118"/>
      <c r="AG18" s="118"/>
      <c r="AH18" s="77">
        <v>1</v>
      </c>
      <c r="AI18" s="13"/>
    </row>
    <row r="19" spans="1:35" s="74" customFormat="1" ht="75" x14ac:dyDescent="0.25">
      <c r="A19" s="203">
        <v>64</v>
      </c>
      <c r="B19" s="73" t="str">
        <f t="shared" si="0"/>
        <v/>
      </c>
      <c r="C19" s="20">
        <f t="shared" si="1"/>
        <v>3</v>
      </c>
      <c r="D19" s="20"/>
      <c r="E19" s="119" t="str">
        <f t="shared" si="2"/>
        <v/>
      </c>
      <c r="F19" s="138" t="str">
        <f t="shared" si="3"/>
        <v>Evaluation of the effectiveness of penetration testing should include: determining if objectives were met; assessing if sufficient weaknesses were identified; reviewing exploitations undertaken; comparing test results to external benchmarks; and determining if value for money was obtained from your service provider.</v>
      </c>
      <c r="G19" s="138"/>
      <c r="H19" s="138"/>
      <c r="I19" s="138"/>
      <c r="J19" s="138"/>
      <c r="K19" s="138"/>
      <c r="L19" s="138"/>
      <c r="M19" s="138"/>
      <c r="N19" s="121" t="str">
        <f t="shared" ca="1" si="4"/>
        <v/>
      </c>
      <c r="O19" s="118" t="str">
        <f t="shared" ca="1" si="5"/>
        <v/>
      </c>
      <c r="P19" s="122"/>
      <c r="Q19" s="122"/>
      <c r="R19" s="118"/>
      <c r="S19" s="118"/>
      <c r="T19" s="118"/>
      <c r="U19" s="118"/>
      <c r="V19" s="118"/>
      <c r="W19" s="118"/>
      <c r="X19" s="118"/>
      <c r="Y19" s="118"/>
      <c r="Z19" s="123"/>
      <c r="AA19" s="118"/>
      <c r="AB19" s="118"/>
      <c r="AC19" s="118"/>
      <c r="AD19" s="118"/>
      <c r="AE19" s="118"/>
      <c r="AF19" s="118"/>
      <c r="AG19" s="118"/>
      <c r="AH19" s="202">
        <v>1</v>
      </c>
      <c r="AI19" s="13"/>
    </row>
    <row r="20" spans="1:35" s="125" customFormat="1" ht="30" customHeight="1" x14ac:dyDescent="0.25">
      <c r="A20" s="134">
        <v>65</v>
      </c>
      <c r="B20" s="117" t="str">
        <f t="shared" si="0"/>
        <v>C.5</v>
      </c>
      <c r="C20" s="118">
        <f t="shared" si="1"/>
        <v>2</v>
      </c>
      <c r="D20" s="87"/>
      <c r="E20" s="142" t="str">
        <f t="shared" si="2"/>
        <v>Step 5</v>
      </c>
      <c r="F20" s="143" t="str">
        <f t="shared" si="3"/>
        <v>Build on lessons learned</v>
      </c>
      <c r="G20" s="143"/>
      <c r="H20" s="143"/>
      <c r="I20" s="143"/>
      <c r="J20" s="143"/>
      <c r="K20" s="143"/>
      <c r="L20" s="143"/>
      <c r="M20" s="143"/>
      <c r="N20" s="143" t="str">
        <f t="shared" ca="1" si="4"/>
        <v/>
      </c>
      <c r="O20" s="143" t="str">
        <f t="shared" ca="1" si="5"/>
        <v/>
      </c>
      <c r="P20" s="143"/>
      <c r="Q20" s="143"/>
      <c r="R20" s="143"/>
      <c r="S20" s="143"/>
      <c r="T20" s="143"/>
      <c r="U20" s="143"/>
      <c r="V20" s="143"/>
      <c r="W20" s="143"/>
      <c r="X20" s="143"/>
      <c r="Y20" s="143"/>
      <c r="Z20" s="143"/>
      <c r="AA20" s="143"/>
      <c r="AB20" s="143"/>
      <c r="AC20" s="143"/>
      <c r="AD20" s="143"/>
      <c r="AE20" s="143"/>
      <c r="AF20" s="143"/>
      <c r="AG20" s="143"/>
      <c r="AH20" s="124"/>
      <c r="AI20" s="13"/>
    </row>
    <row r="21" spans="1:35" s="125" customFormat="1" ht="45" x14ac:dyDescent="0.25">
      <c r="A21" s="137">
        <v>66</v>
      </c>
      <c r="B21" s="117" t="str">
        <f t="shared" si="0"/>
        <v>C.5.01</v>
      </c>
      <c r="C21" s="118">
        <f t="shared" si="1"/>
        <v>5</v>
      </c>
      <c r="D21" s="87"/>
      <c r="E21" s="119" t="str">
        <f t="shared" si="2"/>
        <v>C.5.01</v>
      </c>
      <c r="F21" s="140" t="str">
        <f t="shared" si="3"/>
        <v>Does your penetration testing approach include identifying, recording, analysing and acting upon lessons learned, ensuring good practices are applied to other environments?</v>
      </c>
      <c r="G21" s="118"/>
      <c r="H21" s="139"/>
      <c r="I21" s="141"/>
      <c r="J21" s="139"/>
      <c r="K21" s="139"/>
      <c r="L21" s="139"/>
      <c r="M21" s="139"/>
      <c r="N21" s="121" t="str">
        <f t="shared" ca="1" si="4"/>
        <v>x 1</v>
      </c>
      <c r="O21" s="121" t="str">
        <f t="shared" ca="1" si="5"/>
        <v/>
      </c>
      <c r="P21" s="122"/>
      <c r="Q21" s="122"/>
      <c r="R21" s="118"/>
      <c r="S21" s="118"/>
      <c r="T21" s="118"/>
      <c r="U21" s="118"/>
      <c r="V21" s="118"/>
      <c r="W21" s="118"/>
      <c r="X21" s="118"/>
      <c r="Y21" s="118"/>
      <c r="Z21" s="123"/>
      <c r="AA21" s="118">
        <v>1</v>
      </c>
      <c r="AB21" s="118"/>
      <c r="AC21" s="118"/>
      <c r="AD21" s="118"/>
      <c r="AE21" s="118"/>
      <c r="AF21" s="118"/>
      <c r="AG21" s="118"/>
      <c r="AH21" s="124">
        <v>1</v>
      </c>
      <c r="AI21" s="13"/>
    </row>
    <row r="22" spans="1:35" s="125" customFormat="1" ht="105" x14ac:dyDescent="0.25">
      <c r="A22" s="137">
        <v>67</v>
      </c>
      <c r="B22" s="117" t="str">
        <f t="shared" si="0"/>
        <v/>
      </c>
      <c r="C22" s="118">
        <f t="shared" si="1"/>
        <v>3</v>
      </c>
      <c r="D22" s="87"/>
      <c r="E22" s="119" t="str">
        <f t="shared" si="2"/>
        <v/>
      </c>
      <c r="F22" s="138" t="str">
        <f t="shared" si="3"/>
        <v>Lessons learned before, during and after penetration tests have been conducted should be used to help in planning future tests and provide feedback to service providers to help them improve processes. Good practices identified as a result of penetration tests conducted for one environment should be applied to a wide range of other environments, and rolled out in a consistent and effective manner, fixing root causes endemically.</v>
      </c>
      <c r="G22" s="138"/>
      <c r="H22" s="138"/>
      <c r="I22" s="138"/>
      <c r="J22" s="138"/>
      <c r="K22" s="138"/>
      <c r="L22" s="138"/>
      <c r="M22" s="138"/>
      <c r="N22" s="121" t="str">
        <f t="shared" ca="1" si="4"/>
        <v/>
      </c>
      <c r="O22" s="118" t="str">
        <f t="shared" ca="1" si="5"/>
        <v/>
      </c>
      <c r="P22" s="122"/>
      <c r="Q22" s="122"/>
      <c r="R22" s="118"/>
      <c r="S22" s="118"/>
      <c r="T22" s="118"/>
      <c r="U22" s="118"/>
      <c r="V22" s="118"/>
      <c r="W22" s="118"/>
      <c r="X22" s="118"/>
      <c r="Y22" s="118"/>
      <c r="Z22" s="123"/>
      <c r="AA22" s="118"/>
      <c r="AB22" s="118"/>
      <c r="AC22" s="118"/>
      <c r="AD22" s="118"/>
      <c r="AE22" s="118"/>
      <c r="AF22" s="118"/>
      <c r="AG22" s="118"/>
      <c r="AH22" s="121">
        <v>1</v>
      </c>
      <c r="AI22" s="13"/>
    </row>
    <row r="23" spans="1:35" s="125" customFormat="1" ht="30" customHeight="1" x14ac:dyDescent="0.25">
      <c r="A23" s="134">
        <v>68</v>
      </c>
      <c r="B23" s="117" t="str">
        <f t="shared" si="0"/>
        <v>C.6</v>
      </c>
      <c r="C23" s="118">
        <f t="shared" si="1"/>
        <v>2</v>
      </c>
      <c r="D23" s="87"/>
      <c r="E23" s="142" t="str">
        <f t="shared" si="2"/>
        <v>Step 6</v>
      </c>
      <c r="F23" s="143" t="str">
        <f t="shared" si="3"/>
        <v>Create and monitor action plans</v>
      </c>
      <c r="G23" s="143"/>
      <c r="H23" s="143"/>
      <c r="I23" s="143"/>
      <c r="J23" s="143"/>
      <c r="K23" s="143"/>
      <c r="L23" s="143"/>
      <c r="M23" s="143"/>
      <c r="N23" s="143" t="str">
        <f t="shared" ca="1" si="4"/>
        <v/>
      </c>
      <c r="O23" s="143" t="str">
        <f t="shared" ca="1" si="5"/>
        <v/>
      </c>
      <c r="P23" s="143"/>
      <c r="Q23" s="143"/>
      <c r="R23" s="143"/>
      <c r="S23" s="143"/>
      <c r="T23" s="143"/>
      <c r="U23" s="143"/>
      <c r="V23" s="143"/>
      <c r="W23" s="143"/>
      <c r="X23" s="143"/>
      <c r="Y23" s="143"/>
      <c r="Z23" s="143"/>
      <c r="AA23" s="143"/>
      <c r="AB23" s="143"/>
      <c r="AC23" s="143"/>
      <c r="AD23" s="143"/>
      <c r="AE23" s="143"/>
      <c r="AF23" s="143"/>
      <c r="AG23" s="143"/>
      <c r="AH23" s="124"/>
      <c r="AI23" s="13"/>
    </row>
    <row r="24" spans="1:35" s="125" customFormat="1" ht="30" x14ac:dyDescent="0.25">
      <c r="A24" s="137">
        <v>69</v>
      </c>
      <c r="B24" s="117" t="str">
        <f t="shared" si="0"/>
        <v>C.6.01</v>
      </c>
      <c r="C24" s="118">
        <f t="shared" si="1"/>
        <v>5</v>
      </c>
      <c r="D24" s="87"/>
      <c r="E24" s="119" t="str">
        <f t="shared" si="2"/>
        <v>C.6.01</v>
      </c>
      <c r="F24" s="140" t="str">
        <f t="shared" si="3"/>
        <v>Are action plans created to help act upon follow-up activities undertaken and used to provide input into the design and scope of future tests?</v>
      </c>
      <c r="G24" s="118"/>
      <c r="H24" s="139"/>
      <c r="I24" s="141"/>
      <c r="J24" s="139"/>
      <c r="K24" s="139"/>
      <c r="L24" s="139"/>
      <c r="M24" s="139"/>
      <c r="N24" s="121" t="str">
        <f t="shared" ca="1" si="4"/>
        <v>x 1</v>
      </c>
      <c r="O24" s="121" t="str">
        <f t="shared" ca="1" si="5"/>
        <v/>
      </c>
      <c r="P24" s="122"/>
      <c r="Q24" s="122"/>
      <c r="R24" s="118"/>
      <c r="S24" s="118"/>
      <c r="T24" s="118"/>
      <c r="U24" s="118"/>
      <c r="V24" s="118"/>
      <c r="W24" s="118"/>
      <c r="X24" s="118"/>
      <c r="Y24" s="118"/>
      <c r="Z24" s="123"/>
      <c r="AA24" s="118">
        <v>1</v>
      </c>
      <c r="AB24" s="118"/>
      <c r="AC24" s="118"/>
      <c r="AD24" s="118"/>
      <c r="AE24" s="118"/>
      <c r="AF24" s="118"/>
      <c r="AG24" s="118"/>
      <c r="AH24" s="124">
        <v>1</v>
      </c>
      <c r="AI24" s="13"/>
    </row>
    <row r="25" spans="1:35" s="125" customFormat="1" ht="135" x14ac:dyDescent="0.25">
      <c r="A25" s="137">
        <v>70</v>
      </c>
      <c r="B25" s="117" t="str">
        <f t="shared" si="0"/>
        <v/>
      </c>
      <c r="C25" s="118">
        <f t="shared" si="1"/>
        <v>3</v>
      </c>
      <c r="D25" s="87"/>
      <c r="E25" s="119" t="str">
        <f t="shared" si="2"/>
        <v/>
      </c>
      <c r="F25" s="138" t="str">
        <f t="shared" si="3"/>
        <v>Actions plans should: be formally developed and approved; outline all relevant actions to be taken, include relevant details of the actions to be taken, implemented effectively and monitored to ensure progress is being made and that risks are being kept within acceptable limits. Results from penetration tests should be used when considering what to test in the future (e.g. infrastructure, web applications, mobile devices), how future tests should be undertaken; and when (e.g. on a regular basis (e.g. annually); after significant technical or business changes are made: or in response to a major security incident).</v>
      </c>
      <c r="G25" s="138"/>
      <c r="H25" s="138"/>
      <c r="I25" s="138"/>
      <c r="J25" s="138"/>
      <c r="K25" s="138"/>
      <c r="L25" s="138"/>
      <c r="M25" s="138"/>
      <c r="N25" s="121" t="str">
        <f t="shared" ca="1" si="4"/>
        <v/>
      </c>
      <c r="O25" s="118" t="str">
        <f t="shared" ca="1" si="5"/>
        <v/>
      </c>
      <c r="P25" s="122"/>
      <c r="Q25" s="122"/>
      <c r="R25" s="118"/>
      <c r="S25" s="118"/>
      <c r="T25" s="118"/>
      <c r="U25" s="118"/>
      <c r="V25" s="118"/>
      <c r="W25" s="118"/>
      <c r="X25" s="118"/>
      <c r="Y25" s="118"/>
      <c r="Z25" s="123"/>
      <c r="AA25" s="118"/>
      <c r="AB25" s="118"/>
      <c r="AC25" s="118"/>
      <c r="AD25" s="118"/>
      <c r="AE25" s="118"/>
      <c r="AF25" s="118"/>
      <c r="AG25" s="118"/>
      <c r="AH25" s="121">
        <v>1</v>
      </c>
      <c r="AI25" s="13"/>
    </row>
  </sheetData>
  <sheetProtection algorithmName="SHA-512" hashValue="5QhmOcl5XEDTL6mF9nw9NYa4PggctahjdgZKzCjw17cw4qWGn7fdFL/C9yK4oTLmPtE28NyLyy8Va87vD40DaQ==" saltValue="zsMNgrKRI82T/XMMa0F32A==" spinCount="100000" sheet="1" objects="1" scenarios="1"/>
  <sortState xmlns:xlrd2="http://schemas.microsoft.com/office/spreadsheetml/2017/richdata2" ref="A8:AI25">
    <sortCondition ref="A8:A25"/>
  </sortState>
  <dataConsolidate/>
  <mergeCells count="1">
    <mergeCell ref="F2:F5"/>
  </mergeCells>
  <pageMargins left="0.7" right="0.7" top="0.75" bottom="0.75" header="0.3" footer="0.3"/>
  <pageSetup paperSize="9" scale="38" fitToHeight="0"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77153" r:id="rId4" name="Drop Down 1">
              <controlPr locked="0" defaultSize="0" autoFill="0" autoPict="0">
                <anchor moveWithCells="1">
                  <from>
                    <xdr:col>6</xdr:col>
                    <xdr:colOff>400050</xdr:colOff>
                    <xdr:row>8</xdr:row>
                    <xdr:rowOff>76200</xdr:rowOff>
                  </from>
                  <to>
                    <xdr:col>6</xdr:col>
                    <xdr:colOff>1638300</xdr:colOff>
                    <xdr:row>8</xdr:row>
                    <xdr:rowOff>304800</xdr:rowOff>
                  </to>
                </anchor>
              </controlPr>
            </control>
          </mc:Choice>
        </mc:AlternateContent>
        <mc:AlternateContent xmlns:mc="http://schemas.openxmlformats.org/markup-compatibility/2006">
          <mc:Choice Requires="x14">
            <control shapeId="177162" r:id="rId5" name="Drop Down 10">
              <controlPr locked="0" defaultSize="0" autoFill="0" autoPict="0">
                <anchor moveWithCells="1">
                  <from>
                    <xdr:col>6</xdr:col>
                    <xdr:colOff>400050</xdr:colOff>
                    <xdr:row>11</xdr:row>
                    <xdr:rowOff>76200</xdr:rowOff>
                  </from>
                  <to>
                    <xdr:col>6</xdr:col>
                    <xdr:colOff>1638300</xdr:colOff>
                    <xdr:row>11</xdr:row>
                    <xdr:rowOff>304800</xdr:rowOff>
                  </to>
                </anchor>
              </controlPr>
            </control>
          </mc:Choice>
        </mc:AlternateContent>
        <mc:AlternateContent xmlns:mc="http://schemas.openxmlformats.org/markup-compatibility/2006">
          <mc:Choice Requires="x14">
            <control shapeId="177163" r:id="rId6" name="Drop Down 11">
              <controlPr locked="0" defaultSize="0" autoFill="0" autoPict="0">
                <anchor moveWithCells="1">
                  <from>
                    <xdr:col>6</xdr:col>
                    <xdr:colOff>400050</xdr:colOff>
                    <xdr:row>14</xdr:row>
                    <xdr:rowOff>76200</xdr:rowOff>
                  </from>
                  <to>
                    <xdr:col>6</xdr:col>
                    <xdr:colOff>1638300</xdr:colOff>
                    <xdr:row>14</xdr:row>
                    <xdr:rowOff>304800</xdr:rowOff>
                  </to>
                </anchor>
              </controlPr>
            </control>
          </mc:Choice>
        </mc:AlternateContent>
        <mc:AlternateContent xmlns:mc="http://schemas.openxmlformats.org/markup-compatibility/2006">
          <mc:Choice Requires="x14">
            <control shapeId="177164" r:id="rId7" name="Drop Down 12">
              <controlPr locked="0" defaultSize="0" autoFill="0" autoPict="0">
                <anchor moveWithCells="1">
                  <from>
                    <xdr:col>6</xdr:col>
                    <xdr:colOff>400050</xdr:colOff>
                    <xdr:row>17</xdr:row>
                    <xdr:rowOff>76200</xdr:rowOff>
                  </from>
                  <to>
                    <xdr:col>6</xdr:col>
                    <xdr:colOff>1638300</xdr:colOff>
                    <xdr:row>17</xdr:row>
                    <xdr:rowOff>304800</xdr:rowOff>
                  </to>
                </anchor>
              </controlPr>
            </control>
          </mc:Choice>
        </mc:AlternateContent>
        <mc:AlternateContent xmlns:mc="http://schemas.openxmlformats.org/markup-compatibility/2006">
          <mc:Choice Requires="x14">
            <control shapeId="177165" r:id="rId8" name="Drop Down 13">
              <controlPr locked="0" defaultSize="0" autoFill="0" autoPict="0">
                <anchor moveWithCells="1">
                  <from>
                    <xdr:col>6</xdr:col>
                    <xdr:colOff>400050</xdr:colOff>
                    <xdr:row>20</xdr:row>
                    <xdr:rowOff>76200</xdr:rowOff>
                  </from>
                  <to>
                    <xdr:col>6</xdr:col>
                    <xdr:colOff>1638300</xdr:colOff>
                    <xdr:row>20</xdr:row>
                    <xdr:rowOff>304800</xdr:rowOff>
                  </to>
                </anchor>
              </controlPr>
            </control>
          </mc:Choice>
        </mc:AlternateContent>
        <mc:AlternateContent xmlns:mc="http://schemas.openxmlformats.org/markup-compatibility/2006">
          <mc:Choice Requires="x14">
            <control shapeId="177166" r:id="rId9" name="Drop Down 14">
              <controlPr locked="0" defaultSize="0" autoFill="0" autoPict="0">
                <anchor moveWithCells="1">
                  <from>
                    <xdr:col>6</xdr:col>
                    <xdr:colOff>400050</xdr:colOff>
                    <xdr:row>23</xdr:row>
                    <xdr:rowOff>76200</xdr:rowOff>
                  </from>
                  <to>
                    <xdr:col>6</xdr:col>
                    <xdr:colOff>1638300</xdr:colOff>
                    <xdr:row>23</xdr:row>
                    <xdr:rowOff>304800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717BC9682E1E4883F171C6F4CAE1E1" ma:contentTypeVersion="12" ma:contentTypeDescription="Create a new document." ma:contentTypeScope="" ma:versionID="d0e5a54c02fe12984298d36c1a38f307">
  <xsd:schema xmlns:xsd="http://www.w3.org/2001/XMLSchema" xmlns:xs="http://www.w3.org/2001/XMLSchema" xmlns:p="http://schemas.microsoft.com/office/2006/metadata/properties" xmlns:ns2="55dffd3b-8816-40f4-a6e1-f221333b3a84" xmlns:ns3="c3e2fce7-69bd-406d-9d97-5be86120755d" targetNamespace="http://schemas.microsoft.com/office/2006/metadata/properties" ma:root="true" ma:fieldsID="79f1eff1a778c313e4fff8d7dc0df858" ns2:_="" ns3:_="">
    <xsd:import namespace="55dffd3b-8816-40f4-a6e1-f221333b3a84"/>
    <xsd:import namespace="c3e2fce7-69bd-406d-9d97-5be8612075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dffd3b-8816-40f4-a6e1-f221333b3a8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e2fce7-69bd-406d-9d97-5be86120755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ED2470-9488-4B56-9501-A153F6DDE06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E4ED29-2F82-432F-8A33-6F2D95B16F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dffd3b-8816-40f4-a6e1-f221333b3a84"/>
    <ds:schemaRef ds:uri="c3e2fce7-69bd-406d-9d97-5be8612075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EEB599-9C12-40DF-B147-5D82C3240F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38</vt:i4>
      </vt:variant>
    </vt:vector>
  </HeadingPairs>
  <TitlesOfParts>
    <vt:vector size="50" baseType="lpstr">
      <vt:lpstr>Introduction</vt:lpstr>
      <vt:lpstr>Guidelines</vt:lpstr>
      <vt:lpstr>Profile and Scope</vt:lpstr>
      <vt:lpstr>Targets</vt:lpstr>
      <vt:lpstr>Weightings</vt:lpstr>
      <vt:lpstr>Aggregated Results</vt:lpstr>
      <vt:lpstr>Assess A</vt:lpstr>
      <vt:lpstr>Assess B</vt:lpstr>
      <vt:lpstr>Assess C</vt:lpstr>
      <vt:lpstr>Results A</vt:lpstr>
      <vt:lpstr>Results B</vt:lpstr>
      <vt:lpstr>Results C</vt:lpstr>
      <vt:lpstr>Content_Headings</vt:lpstr>
      <vt:lpstr>contentref</vt:lpstr>
      <vt:lpstr>contentrefmockup</vt:lpstr>
      <vt:lpstr>detail_maturity_score</vt:lpstr>
      <vt:lpstr>level_ref</vt:lpstr>
      <vt:lpstr>maturity_response_frame</vt:lpstr>
      <vt:lpstr>MaturityLevelsTable</vt:lpstr>
      <vt:lpstr>'Aggregated Results'!Print_Area</vt:lpstr>
      <vt:lpstr>'Assess A'!Print_Area</vt:lpstr>
      <vt:lpstr>'Assess B'!Print_Area</vt:lpstr>
      <vt:lpstr>'Assess C'!Print_Area</vt:lpstr>
      <vt:lpstr>Guidelines!Print_Area</vt:lpstr>
      <vt:lpstr>Introduction!Print_Area</vt:lpstr>
      <vt:lpstr>'Profile and Scope'!Print_Area</vt:lpstr>
      <vt:lpstr>'Results A'!Print_Area</vt:lpstr>
      <vt:lpstr>'Results B'!Print_Area</vt:lpstr>
      <vt:lpstr>'Results C'!Print_Area</vt:lpstr>
      <vt:lpstr>Targets!Print_Area</vt:lpstr>
      <vt:lpstr>Weightings!Print_Area</vt:lpstr>
      <vt:lpstr>profile_business_unit</vt:lpstr>
      <vt:lpstr>profile_date_of_assessment</vt:lpstr>
      <vt:lpstr>profile_internal_pt_coordinator</vt:lpstr>
      <vt:lpstr>profile_name_of_organisation</vt:lpstr>
      <vt:lpstr>profile_pt_coordinator_role_or_position</vt:lpstr>
      <vt:lpstr>profile_sector</vt:lpstr>
      <vt:lpstr>profile_size_of_business</vt:lpstr>
      <vt:lpstr>profile_type_of_business</vt:lpstr>
      <vt:lpstr>Results_A_Reference</vt:lpstr>
      <vt:lpstr>Results_B_Reference</vt:lpstr>
      <vt:lpstr>Results_C_Reference</vt:lpstr>
      <vt:lpstr>sector_responses</vt:lpstr>
      <vt:lpstr>size_of_business_responses</vt:lpstr>
      <vt:lpstr>targets_lookup</vt:lpstr>
      <vt:lpstr>textref</vt:lpstr>
      <vt:lpstr>Tool_Name</vt:lpstr>
      <vt:lpstr>type_of_business_responses</vt:lpstr>
      <vt:lpstr>weighting_response_reverse</vt:lpstr>
      <vt:lpstr>weighting_responses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Jones</dc:creator>
  <cp:lastModifiedBy>Steve</cp:lastModifiedBy>
  <cp:lastPrinted>2014-05-21T13:24:25Z</cp:lastPrinted>
  <dcterms:created xsi:type="dcterms:W3CDTF">2013-12-31T13:54:42Z</dcterms:created>
  <dcterms:modified xsi:type="dcterms:W3CDTF">2021-06-21T18:24:11Z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v3.3</vt:lpwstr>
  </property>
  <property fmtid="{D5CDD505-2E9C-101B-9397-08002B2CF9AE}" pid="3" name="ContentTypeId">
    <vt:lpwstr>0x010100E6717BC9682E1E4883F171C6F4CAE1E1</vt:lpwstr>
  </property>
</Properties>
</file>